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gt\Desktop\"/>
    </mc:Choice>
  </mc:AlternateContent>
  <bookViews>
    <workbookView xWindow="240" yWindow="75" windowWidth="11700" windowHeight="5550"/>
  </bookViews>
  <sheets>
    <sheet name="Sch MEB 2 pg 1" sheetId="70" r:id="rId1"/>
    <sheet name="Sch MEB 2 pg 2" sheetId="71" r:id="rId2"/>
    <sheet name="Sch MEB 4 pg 1" sheetId="61" r:id="rId3"/>
    <sheet name="Sch MEB 4 pg 2" sheetId="63" r:id="rId4"/>
    <sheet name="Sch MEB 4 pg 3" sheetId="64" r:id="rId5"/>
    <sheet name="Sch MEB 5 pg 1" sheetId="38" r:id="rId6"/>
    <sheet name="Sch MEB 5 pg 2" sheetId="58" r:id="rId7"/>
    <sheet name="Sch MEB 5 pg 3" sheetId="59" r:id="rId8"/>
    <sheet name="Schedule 1 and 2 Workpaper" sheetId="69" r:id="rId9"/>
    <sheet name="Distrib Class EPMC Rates Workp" sheetId="66" r:id="rId10"/>
    <sheet name="Distribution UDC + Bond" sheetId="65" r:id="rId11"/>
    <sheet name="Workpaper" sheetId="67" r:id="rId12"/>
    <sheet name="AL-TOU Summary" sheetId="54" state="hidden" r:id="rId13"/>
    <sheet name="A6-TOU Summary" sheetId="55" state="hidden" r:id="rId14"/>
  </sheets>
  <externalReferences>
    <externalReference r:id="rId15"/>
    <externalReference r:id="rId16"/>
  </externalReferences>
  <definedNames>
    <definedName name="_______ddd5" localSheetId="9" hidden="1">{#N/A,#N/A,FALSE,"trates"}</definedName>
    <definedName name="_______ddd5" localSheetId="0" hidden="1">{#N/A,#N/A,FALSE,"trates"}</definedName>
    <definedName name="_______ddd5" localSheetId="1" hidden="1">{#N/A,#N/A,FALSE,"trates"}</definedName>
    <definedName name="_______ddd5" localSheetId="8" hidden="1">{#N/A,#N/A,FALSE,"trates"}</definedName>
    <definedName name="_______ddd5" localSheetId="11" hidden="1">{#N/A,#N/A,FALSE,"trates"}</definedName>
    <definedName name="_______ddd5" hidden="1">{#N/A,#N/A,FALSE,"trates"}</definedName>
    <definedName name="______ddd5" localSheetId="9" hidden="1">{#N/A,#N/A,FALSE,"trates"}</definedName>
    <definedName name="______ddd5" localSheetId="0" hidden="1">{#N/A,#N/A,FALSE,"trates"}</definedName>
    <definedName name="______ddd5" localSheetId="1" hidden="1">{#N/A,#N/A,FALSE,"trates"}</definedName>
    <definedName name="______ddd5" localSheetId="8" hidden="1">{#N/A,#N/A,FALSE,"trates"}</definedName>
    <definedName name="______ddd5" localSheetId="11" hidden="1">{#N/A,#N/A,FALSE,"trates"}</definedName>
    <definedName name="______ddd5" hidden="1">{#N/A,#N/A,FALSE,"trates"}</definedName>
    <definedName name="_____ddd5" localSheetId="9" hidden="1">{#N/A,#N/A,FALSE,"trates"}</definedName>
    <definedName name="_____ddd5" localSheetId="0" hidden="1">{#N/A,#N/A,FALSE,"trates"}</definedName>
    <definedName name="_____ddd5" localSheetId="1" hidden="1">{#N/A,#N/A,FALSE,"trates"}</definedName>
    <definedName name="_____ddd5" localSheetId="8" hidden="1">{#N/A,#N/A,FALSE,"trates"}</definedName>
    <definedName name="_____ddd5" localSheetId="11" hidden="1">{#N/A,#N/A,FALSE,"trates"}</definedName>
    <definedName name="_____ddd5" hidden="1">{#N/A,#N/A,FALSE,"trates"}</definedName>
    <definedName name="____ddd5" localSheetId="9" hidden="1">{#N/A,#N/A,FALSE,"trates"}</definedName>
    <definedName name="____ddd5" localSheetId="0" hidden="1">{#N/A,#N/A,FALSE,"trates"}</definedName>
    <definedName name="____ddd5" localSheetId="1" hidden="1">{#N/A,#N/A,FALSE,"trates"}</definedName>
    <definedName name="____ddd5" localSheetId="8" hidden="1">{#N/A,#N/A,FALSE,"trates"}</definedName>
    <definedName name="____ddd5" localSheetId="11" hidden="1">{#N/A,#N/A,FALSE,"trates"}</definedName>
    <definedName name="____ddd5" hidden="1">{#N/A,#N/A,FALSE,"trates"}</definedName>
    <definedName name="___ddd5" localSheetId="9" hidden="1">{#N/A,#N/A,FALSE,"trates"}</definedName>
    <definedName name="___ddd5" localSheetId="0" hidden="1">{#N/A,#N/A,FALSE,"trates"}</definedName>
    <definedName name="___ddd5" localSheetId="1" hidden="1">{#N/A,#N/A,FALSE,"trates"}</definedName>
    <definedName name="___ddd5" localSheetId="8" hidden="1">{#N/A,#N/A,FALSE,"trates"}</definedName>
    <definedName name="___ddd5" localSheetId="11" hidden="1">{#N/A,#N/A,FALSE,"trates"}</definedName>
    <definedName name="___ddd5" hidden="1">{#N/A,#N/A,FALSE,"trates"}</definedName>
    <definedName name="__ddd5" localSheetId="9" hidden="1">{#N/A,#N/A,FALSE,"trates"}</definedName>
    <definedName name="__ddd5" localSheetId="0" hidden="1">{#N/A,#N/A,FALSE,"trates"}</definedName>
    <definedName name="__ddd5" localSheetId="1" hidden="1">{#N/A,#N/A,FALSE,"trates"}</definedName>
    <definedName name="__ddd5" localSheetId="8" hidden="1">{#N/A,#N/A,FALSE,"trates"}</definedName>
    <definedName name="__ddd5" localSheetId="11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localSheetId="9" hidden="1">{#N/A,#N/A,FALSE,"trates"}</definedName>
    <definedName name="_ddd5" localSheetId="0" hidden="1">{#N/A,#N/A,FALSE,"trates"}</definedName>
    <definedName name="_ddd5" localSheetId="1" hidden="1">{#N/A,#N/A,FALSE,"trates"}</definedName>
    <definedName name="_ddd5" localSheetId="8" hidden="1">{#N/A,#N/A,FALSE,"trates"}</definedName>
    <definedName name="_ddd5" localSheetId="11" hidden="1">{#N/A,#N/A,FALSE,"trates"}</definedName>
    <definedName name="_ddd5" hidden="1">{#N/A,#N/A,FALSE,"trates"}</definedName>
    <definedName name="_Fill" localSheetId="9" hidden="1">#REF!</definedName>
    <definedName name="_Fill" localSheetId="0" hidden="1">#REF!</definedName>
    <definedName name="_Fill" localSheetId="1" hidden="1">#REF!</definedName>
    <definedName name="_Fill" localSheetId="2" hidden="1">#REF!</definedName>
    <definedName name="_Fill" localSheetId="3" hidden="1">#REF!</definedName>
    <definedName name="_Fill" localSheetId="4" hidden="1">#REF!</definedName>
    <definedName name="_Fill" localSheetId="6" hidden="1">#REF!</definedName>
    <definedName name="_Fill" localSheetId="7" hidden="1">#REF!</definedName>
    <definedName name="_Fill" localSheetId="8" hidden="1">#REF!</definedName>
    <definedName name="_Fill" localSheetId="11" hidden="1">#REF!</definedName>
    <definedName name="_Fill" hidden="1">#REF!</definedName>
    <definedName name="_Key1" localSheetId="9" hidden="1">#REF!</definedName>
    <definedName name="_Key1" localSheetId="0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localSheetId="4" hidden="1">#REF!</definedName>
    <definedName name="_Key1" localSheetId="6" hidden="1">#REF!</definedName>
    <definedName name="_Key1" localSheetId="7" hidden="1">#REF!</definedName>
    <definedName name="_Key1" localSheetId="8" hidden="1">#REF!</definedName>
    <definedName name="_Key1" localSheetId="11" hidden="1">#REF!</definedName>
    <definedName name="_Key1" hidden="1">#REF!</definedName>
    <definedName name="_Key2" localSheetId="9" hidden="1">#REF!</definedName>
    <definedName name="_Key2" localSheetId="0" hidden="1">#REF!</definedName>
    <definedName name="_Key2" localSheetId="1" hidden="1">#REF!</definedName>
    <definedName name="_Key2" localSheetId="2" hidden="1">#REF!</definedName>
    <definedName name="_Key2" localSheetId="3" hidden="1">#REF!</definedName>
    <definedName name="_Key2" localSheetId="4" hidden="1">#REF!</definedName>
    <definedName name="_Key2" localSheetId="6" hidden="1">#REF!</definedName>
    <definedName name="_Key2" localSheetId="7" hidden="1">#REF!</definedName>
    <definedName name="_Key2" localSheetId="8" hidden="1">#REF!</definedName>
    <definedName name="_Key2" localSheetId="11" hidden="1">#REF!</definedName>
    <definedName name="_Key2" hidden="1">#REF!</definedName>
    <definedName name="_MatInverse_In" localSheetId="9" hidden="1">#REF!</definedName>
    <definedName name="_MatInverse_In" localSheetId="0" hidden="1">#REF!</definedName>
    <definedName name="_MatInverse_In" localSheetId="1" hidden="1">#REF!</definedName>
    <definedName name="_MatInverse_In" localSheetId="2" hidden="1">#REF!</definedName>
    <definedName name="_MatInverse_In" localSheetId="3" hidden="1">#REF!</definedName>
    <definedName name="_MatInverse_In" localSheetId="4" hidden="1">#REF!</definedName>
    <definedName name="_MatInverse_In" localSheetId="6" hidden="1">#REF!</definedName>
    <definedName name="_MatInverse_In" localSheetId="7" hidden="1">#REF!</definedName>
    <definedName name="_MatInverse_In" localSheetId="8" hidden="1">#REF!</definedName>
    <definedName name="_MatInverse_In" localSheetId="11" hidden="1">#REF!</definedName>
    <definedName name="_MatInverse_In" hidden="1">#REF!</definedName>
    <definedName name="_MatMult_A" localSheetId="9" hidden="1">#REF!</definedName>
    <definedName name="_MatMult_A" localSheetId="0" hidden="1">#REF!</definedName>
    <definedName name="_MatMult_A" localSheetId="1" hidden="1">#REF!</definedName>
    <definedName name="_MatMult_A" localSheetId="2" hidden="1">#REF!</definedName>
    <definedName name="_MatMult_A" localSheetId="3" hidden="1">#REF!</definedName>
    <definedName name="_MatMult_A" localSheetId="4" hidden="1">#REF!</definedName>
    <definedName name="_MatMult_A" localSheetId="6" hidden="1">#REF!</definedName>
    <definedName name="_MatMult_A" localSheetId="7" hidden="1">#REF!</definedName>
    <definedName name="_MatMult_A" localSheetId="8" hidden="1">#REF!</definedName>
    <definedName name="_MatMult_A" localSheetId="11" hidden="1">#REF!</definedName>
    <definedName name="_MatMult_A" hidden="1">#REF!</definedName>
    <definedName name="_MatMult_AxB" localSheetId="9" hidden="1">#REF!</definedName>
    <definedName name="_MatMult_AxB" localSheetId="0" hidden="1">#REF!</definedName>
    <definedName name="_MatMult_AxB" localSheetId="1" hidden="1">#REF!</definedName>
    <definedName name="_MatMult_AxB" localSheetId="2" hidden="1">#REF!</definedName>
    <definedName name="_MatMult_AxB" localSheetId="3" hidden="1">#REF!</definedName>
    <definedName name="_MatMult_AxB" localSheetId="4" hidden="1">#REF!</definedName>
    <definedName name="_MatMult_AxB" localSheetId="6" hidden="1">#REF!</definedName>
    <definedName name="_MatMult_AxB" localSheetId="7" hidden="1">#REF!</definedName>
    <definedName name="_MatMult_AxB" localSheetId="8" hidden="1">#REF!</definedName>
    <definedName name="_MatMult_AxB" localSheetId="11" hidden="1">#REF!</definedName>
    <definedName name="_MatMult_AxB" hidden="1">#REF!</definedName>
    <definedName name="_MatMult_B" localSheetId="9" hidden="1">#REF!</definedName>
    <definedName name="_MatMult_B" localSheetId="0" hidden="1">#REF!</definedName>
    <definedName name="_MatMult_B" localSheetId="1" hidden="1">#REF!</definedName>
    <definedName name="_MatMult_B" localSheetId="2" hidden="1">#REF!</definedName>
    <definedName name="_MatMult_B" localSheetId="3" hidden="1">#REF!</definedName>
    <definedName name="_MatMult_B" localSheetId="4" hidden="1">#REF!</definedName>
    <definedName name="_MatMult_B" localSheetId="6" hidden="1">#REF!</definedName>
    <definedName name="_MatMult_B" localSheetId="7" hidden="1">#REF!</definedName>
    <definedName name="_MatMult_B" localSheetId="8" hidden="1">#REF!</definedName>
    <definedName name="_MatMult_B" localSheetId="11" hidden="1">#REF!</definedName>
    <definedName name="_MatMult_B" hidden="1">#REF!</definedName>
    <definedName name="_Order1" hidden="1">255</definedName>
    <definedName name="_Order2" hidden="1">0</definedName>
    <definedName name="_Parse_In" localSheetId="9" hidden="1">#REF!</definedName>
    <definedName name="_Parse_In" localSheetId="0" hidden="1">#REF!</definedName>
    <definedName name="_Parse_In" localSheetId="1" hidden="1">#REF!</definedName>
    <definedName name="_Parse_In" localSheetId="2" hidden="1">#REF!</definedName>
    <definedName name="_Parse_In" localSheetId="3" hidden="1">#REF!</definedName>
    <definedName name="_Parse_In" localSheetId="4" hidden="1">#REF!</definedName>
    <definedName name="_Parse_In" localSheetId="6" hidden="1">#REF!</definedName>
    <definedName name="_Parse_In" localSheetId="7" hidden="1">#REF!</definedName>
    <definedName name="_Parse_In" localSheetId="8" hidden="1">#REF!</definedName>
    <definedName name="_Parse_In" localSheetId="11" hidden="1">#REF!</definedName>
    <definedName name="_Parse_In" hidden="1">#REF!</definedName>
    <definedName name="_Parse_Out" localSheetId="9" hidden="1">#REF!</definedName>
    <definedName name="_Parse_Out" localSheetId="0" hidden="1">#REF!</definedName>
    <definedName name="_Parse_Out" localSheetId="1" hidden="1">#REF!</definedName>
    <definedName name="_Parse_Out" localSheetId="2" hidden="1">#REF!</definedName>
    <definedName name="_Parse_Out" localSheetId="3" hidden="1">#REF!</definedName>
    <definedName name="_Parse_Out" localSheetId="4" hidden="1">#REF!</definedName>
    <definedName name="_Parse_Out" localSheetId="6" hidden="1">#REF!</definedName>
    <definedName name="_Parse_Out" localSheetId="7" hidden="1">#REF!</definedName>
    <definedName name="_Parse_Out" localSheetId="8" hidden="1">#REF!</definedName>
    <definedName name="_Parse_Out" localSheetId="11" hidden="1">#REF!</definedName>
    <definedName name="_Parse_Out" hidden="1">#REF!</definedName>
    <definedName name="_Sort" localSheetId="9" hidden="1">#REF!</definedName>
    <definedName name="_Sort" localSheetId="0" hidden="1">#REF!</definedName>
    <definedName name="_Sort" localSheetId="1" hidden="1">#REF!</definedName>
    <definedName name="_Sort" localSheetId="2" hidden="1">#REF!</definedName>
    <definedName name="_Sort" localSheetId="3" hidden="1">#REF!</definedName>
    <definedName name="_Sort" localSheetId="4" hidden="1">#REF!</definedName>
    <definedName name="_Sort" localSheetId="6" hidden="1">#REF!</definedName>
    <definedName name="_Sort" localSheetId="7" hidden="1">#REF!</definedName>
    <definedName name="_Sort" localSheetId="8" hidden="1">#REF!</definedName>
    <definedName name="_Sort" localSheetId="11" hidden="1">#REF!</definedName>
    <definedName name="_Sort" hidden="1">#REF!</definedName>
    <definedName name="anscount" hidden="1">1</definedName>
    <definedName name="dddd">[1]Level2!$K$2</definedName>
    <definedName name="dummy1" localSheetId="9" hidden="1">{#N/A,#N/A,FALSE,"trates"}</definedName>
    <definedName name="dummy1" localSheetId="0" hidden="1">{#N/A,#N/A,FALSE,"trates"}</definedName>
    <definedName name="dummy1" localSheetId="1" hidden="1">{#N/A,#N/A,FALSE,"trates"}</definedName>
    <definedName name="dummy1" localSheetId="8" hidden="1">{#N/A,#N/A,FALSE,"trates"}</definedName>
    <definedName name="dummy1" localSheetId="11" hidden="1">{#N/A,#N/A,FALSE,"trates"}</definedName>
    <definedName name="dummy1" hidden="1">{#N/A,#N/A,FALSE,"trates"}</definedName>
    <definedName name="dummy2" localSheetId="9" hidden="1">{#N/A,#N/A,FALSE,"trates"}</definedName>
    <definedName name="dummy2" localSheetId="0" hidden="1">{#N/A,#N/A,FALSE,"trates"}</definedName>
    <definedName name="dummy2" localSheetId="1" hidden="1">{#N/A,#N/A,FALSE,"trates"}</definedName>
    <definedName name="dummy2" localSheetId="8" hidden="1">{#N/A,#N/A,FALSE,"trates"}</definedName>
    <definedName name="dummy2" localSheetId="11" hidden="1">{#N/A,#N/A,FALSE,"trates"}</definedName>
    <definedName name="dummy2" hidden="1">{#N/A,#N/A,FALSE,"trates"}</definedName>
    <definedName name="dummy3" localSheetId="9" hidden="1">{#N/A,#N/A,FALSE,"trates"}</definedName>
    <definedName name="dummy3" localSheetId="0" hidden="1">{#N/A,#N/A,FALSE,"trates"}</definedName>
    <definedName name="dummy3" localSheetId="1" hidden="1">{#N/A,#N/A,FALSE,"trates"}</definedName>
    <definedName name="dummy3" localSheetId="8" hidden="1">{#N/A,#N/A,FALSE,"trates"}</definedName>
    <definedName name="dummy3" localSheetId="11" hidden="1">{#N/A,#N/A,FALSE,"trates"}</definedName>
    <definedName name="dummy3" hidden="1">{#N/A,#N/A,FALSE,"trates"}</definedName>
    <definedName name="dummy4" localSheetId="9" hidden="1">{#N/A,#N/A,FALSE,"trates"}</definedName>
    <definedName name="dummy4" localSheetId="0" hidden="1">{#N/A,#N/A,FALSE,"trates"}</definedName>
    <definedName name="dummy4" localSheetId="1" hidden="1">{#N/A,#N/A,FALSE,"trates"}</definedName>
    <definedName name="dummy4" localSheetId="8" hidden="1">{#N/A,#N/A,FALSE,"trates"}</definedName>
    <definedName name="dummy4" localSheetId="11" hidden="1">{#N/A,#N/A,FALSE,"trates"}</definedName>
    <definedName name="dummy4" hidden="1">{#N/A,#N/A,FALSE,"trates"}</definedName>
    <definedName name="dummy5" localSheetId="9" hidden="1">{#N/A,#N/A,FALSE,"trates"}</definedName>
    <definedName name="dummy5" localSheetId="0" hidden="1">{#N/A,#N/A,FALSE,"trates"}</definedName>
    <definedName name="dummy5" localSheetId="1" hidden="1">{#N/A,#N/A,FALSE,"trates"}</definedName>
    <definedName name="dummy5" localSheetId="8" hidden="1">{#N/A,#N/A,FALSE,"trates"}</definedName>
    <definedName name="dummy5" localSheetId="11" hidden="1">{#N/A,#N/A,FALSE,"trates"}</definedName>
    <definedName name="dummy5" hidden="1">{#N/A,#N/A,FALSE,"trates"}</definedName>
    <definedName name="InvoiceType">[2]Level2!$K$2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jjj" localSheetId="0" hidden="1">#REF!</definedName>
    <definedName name="jjj" localSheetId="1" hidden="1">#REF!</definedName>
    <definedName name="jjj" localSheetId="2" hidden="1">#REF!</definedName>
    <definedName name="jjj" localSheetId="3" hidden="1">#REF!</definedName>
    <definedName name="jjj" localSheetId="4" hidden="1">#REF!</definedName>
    <definedName name="jjj" localSheetId="6" hidden="1">#REF!</definedName>
    <definedName name="jjj" localSheetId="7" hidden="1">#REF!</definedName>
    <definedName name="jjj" localSheetId="8" hidden="1">#REF!</definedName>
    <definedName name="jjj" hidden="1">#REF!</definedName>
    <definedName name="jkl" localSheetId="9" hidden="1">{#N/A,#N/A,FALSE,"trates"}</definedName>
    <definedName name="jkl" localSheetId="0" hidden="1">{#N/A,#N/A,FALSE,"trates"}</definedName>
    <definedName name="jkl" localSheetId="1" hidden="1">{#N/A,#N/A,FALSE,"trates"}</definedName>
    <definedName name="jkl" localSheetId="8" hidden="1">{#N/A,#N/A,FALSE,"trates"}</definedName>
    <definedName name="jkl" localSheetId="11" hidden="1">{#N/A,#N/A,FALSE,"trates"}</definedName>
    <definedName name="jkl" hidden="1">{#N/A,#N/A,FALSE,"trates"}</definedName>
    <definedName name="limcount" hidden="1">1</definedName>
    <definedName name="_xlnm.Print_Area" localSheetId="13">'A6-TOU Summary'!$A$1:$H$20</definedName>
    <definedName name="_xlnm.Print_Area" localSheetId="12">'AL-TOU Summary'!$A$1:$H$23</definedName>
    <definedName name="_xlnm.Print_Area" localSheetId="9">'Distrib Class EPMC Rates Workp'!$J$27:$S$525</definedName>
    <definedName name="_xlnm.Print_Area" localSheetId="10">'Distribution UDC + Bond'!$A$1:$AF$260</definedName>
    <definedName name="_xlnm.Print_Area" localSheetId="8">#REF!</definedName>
    <definedName name="_xlnm.Print_Area" localSheetId="11">Workpaper!$A$1:$T$37</definedName>
    <definedName name="_xlnm.Print_Area">#REF!</definedName>
    <definedName name="Print_Area_MI" localSheetId="9">#REF!</definedName>
    <definedName name="Print_Area_MI" localSheetId="0">#REF!</definedName>
    <definedName name="Print_Area_MI" localSheetId="1">#REF!</definedName>
    <definedName name="Print_Area_MI" localSheetId="2">#REF!</definedName>
    <definedName name="Print_Area_MI" localSheetId="3">#REF!</definedName>
    <definedName name="Print_Area_MI" localSheetId="4">#REF!</definedName>
    <definedName name="Print_Area_MI" localSheetId="6">#REF!</definedName>
    <definedName name="Print_Area_MI" localSheetId="7">#REF!</definedName>
    <definedName name="Print_Area_MI" localSheetId="8">#REF!</definedName>
    <definedName name="Print_Area_MI" localSheetId="11">#REF!</definedName>
    <definedName name="Print_Area_MI">#REF!</definedName>
    <definedName name="Print_Area2" localSheetId="0">#REF!</definedName>
    <definedName name="Print_Area2" localSheetId="1">#REF!</definedName>
    <definedName name="Print_Area2" localSheetId="2">#REF!</definedName>
    <definedName name="Print_Area2" localSheetId="3">#REF!</definedName>
    <definedName name="Print_Area2" localSheetId="4">#REF!</definedName>
    <definedName name="Print_Area2" localSheetId="6">#REF!</definedName>
    <definedName name="Print_Area2" localSheetId="7">#REF!</definedName>
    <definedName name="Print_Area2" localSheetId="8">#REF!</definedName>
    <definedName name="Print_Area2">#REF!</definedName>
    <definedName name="_xlnm.Print_Titles" localSheetId="9">'Distrib Class EPMC Rates Workp'!$28:$35</definedName>
    <definedName name="_xlnm.Print_Titles" localSheetId="10">'Distribution UDC + Bond'!$1:$6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9" hidden="1">{#N/A,#N/A,FALSE,"trates"}</definedName>
    <definedName name="wrn.BL." localSheetId="0" hidden="1">{#N/A,#N/A,FALSE,"trates"}</definedName>
    <definedName name="wrn.BL." localSheetId="1" hidden="1">{#N/A,#N/A,FALSE,"trates"}</definedName>
    <definedName name="wrn.BL." localSheetId="8" hidden="1">{#N/A,#N/A,FALSE,"trates"}</definedName>
    <definedName name="wrn.BL." localSheetId="11" hidden="1">{#N/A,#N/A,FALSE,"trates"}</definedName>
    <definedName name="wrn.BL." hidden="1">{#N/A,#N/A,FALSE,"trates"}</definedName>
  </definedNames>
  <calcPr calcId="162913" concurrentCalc="0"/>
</workbook>
</file>

<file path=xl/calcChain.xml><?xml version="1.0" encoding="utf-8"?>
<calcChain xmlns="http://schemas.openxmlformats.org/spreadsheetml/2006/main">
  <c r="P121" i="66" l="1"/>
  <c r="C17" i="71"/>
  <c r="C13" i="71"/>
  <c r="I17" i="70"/>
  <c r="J17" i="70"/>
  <c r="I18" i="70"/>
  <c r="J18" i="70"/>
  <c r="I13" i="70"/>
  <c r="J13" i="70"/>
  <c r="I14" i="70"/>
  <c r="J14" i="70"/>
  <c r="I15" i="70"/>
  <c r="J15" i="70"/>
  <c r="I16" i="70"/>
  <c r="J16" i="70"/>
  <c r="I12" i="70"/>
  <c r="J12" i="70"/>
  <c r="J29" i="69"/>
  <c r="J32" i="69"/>
  <c r="G26" i="69"/>
  <c r="G12" i="70"/>
  <c r="E26" i="69"/>
  <c r="D32" i="69"/>
  <c r="C31" i="69"/>
  <c r="C17" i="70"/>
  <c r="J30" i="69"/>
  <c r="I30" i="69"/>
  <c r="I29" i="69"/>
  <c r="J28" i="69"/>
  <c r="I28" i="69"/>
  <c r="C28" i="69"/>
  <c r="J27" i="69"/>
  <c r="I27" i="69"/>
  <c r="C27" i="69"/>
  <c r="J26" i="69"/>
  <c r="I26" i="69"/>
  <c r="D27" i="69"/>
  <c r="D18" i="71"/>
  <c r="D18" i="70"/>
  <c r="K28" i="69"/>
  <c r="F12" i="71"/>
  <c r="E12" i="70"/>
  <c r="E29" i="69"/>
  <c r="G29" i="69"/>
  <c r="G15" i="70"/>
  <c r="G18" i="70"/>
  <c r="E28" i="69"/>
  <c r="E31" i="69"/>
  <c r="E18" i="70"/>
  <c r="H32" i="69"/>
  <c r="E27" i="69"/>
  <c r="C30" i="69"/>
  <c r="G31" i="69"/>
  <c r="G17" i="70"/>
  <c r="C14" i="71"/>
  <c r="C18" i="71"/>
  <c r="C26" i="69"/>
  <c r="G27" i="69"/>
  <c r="G13" i="70"/>
  <c r="E30" i="69"/>
  <c r="C14" i="70"/>
  <c r="C13" i="70"/>
  <c r="C18" i="70"/>
  <c r="F32" i="69"/>
  <c r="F18" i="71"/>
  <c r="G28" i="69"/>
  <c r="G14" i="70"/>
  <c r="G30" i="69"/>
  <c r="G16" i="70"/>
  <c r="C29" i="69"/>
  <c r="D28" i="69"/>
  <c r="D30" i="69"/>
  <c r="D26" i="69"/>
  <c r="D29" i="69"/>
  <c r="D31" i="69"/>
  <c r="F26" i="69"/>
  <c r="F28" i="69"/>
  <c r="F29" i="69"/>
  <c r="F31" i="69"/>
  <c r="D17" i="70"/>
  <c r="D17" i="71"/>
  <c r="E17" i="71"/>
  <c r="C15" i="70"/>
  <c r="K29" i="69"/>
  <c r="C15" i="71"/>
  <c r="F16" i="71"/>
  <c r="E16" i="70"/>
  <c r="H30" i="69"/>
  <c r="H16" i="70"/>
  <c r="H27" i="69"/>
  <c r="H13" i="70"/>
  <c r="H18" i="70"/>
  <c r="H29" i="69"/>
  <c r="H15" i="70"/>
  <c r="H31" i="69"/>
  <c r="H17" i="70"/>
  <c r="H28" i="69"/>
  <c r="H14" i="70"/>
  <c r="H26" i="69"/>
  <c r="H12" i="70"/>
  <c r="D15" i="70"/>
  <c r="D15" i="71"/>
  <c r="K26" i="69"/>
  <c r="C12" i="70"/>
  <c r="K12" i="70"/>
  <c r="C12" i="71"/>
  <c r="F17" i="71"/>
  <c r="E17" i="70"/>
  <c r="K17" i="70"/>
  <c r="K31" i="69"/>
  <c r="G12" i="71"/>
  <c r="H12" i="71"/>
  <c r="F12" i="70"/>
  <c r="F17" i="70"/>
  <c r="G17" i="71"/>
  <c r="D16" i="71"/>
  <c r="D16" i="70"/>
  <c r="F14" i="71"/>
  <c r="E14" i="70"/>
  <c r="K14" i="70"/>
  <c r="F13" i="71"/>
  <c r="E13" i="70"/>
  <c r="K13" i="70"/>
  <c r="D12" i="71"/>
  <c r="E12" i="71"/>
  <c r="D12" i="70"/>
  <c r="L12" i="70"/>
  <c r="G15" i="71"/>
  <c r="F15" i="70"/>
  <c r="D14" i="71"/>
  <c r="E14" i="71"/>
  <c r="L28" i="69"/>
  <c r="D14" i="70"/>
  <c r="L14" i="70"/>
  <c r="F30" i="69"/>
  <c r="L30" i="69"/>
  <c r="G18" i="71"/>
  <c r="F18" i="70"/>
  <c r="D13" i="70"/>
  <c r="D13" i="71"/>
  <c r="E13" i="71"/>
  <c r="K27" i="69"/>
  <c r="G14" i="71"/>
  <c r="F14" i="70"/>
  <c r="F27" i="69"/>
  <c r="C16" i="70"/>
  <c r="K16" i="70"/>
  <c r="C16" i="71"/>
  <c r="K30" i="69"/>
  <c r="E15" i="70"/>
  <c r="F15" i="71"/>
  <c r="M12" i="70"/>
  <c r="K32" i="69"/>
  <c r="K15" i="70"/>
  <c r="K18" i="70"/>
  <c r="G16" i="71"/>
  <c r="H16" i="71"/>
  <c r="F16" i="70"/>
  <c r="L16" i="70"/>
  <c r="M16" i="70"/>
  <c r="M14" i="70"/>
  <c r="L26" i="69"/>
  <c r="E16" i="71"/>
  <c r="L31" i="69"/>
  <c r="F13" i="70"/>
  <c r="G13" i="71"/>
  <c r="H13" i="71"/>
  <c r="E15" i="71"/>
  <c r="E18" i="71"/>
  <c r="L13" i="70"/>
  <c r="M13" i="70"/>
  <c r="L15" i="70"/>
  <c r="M15" i="70"/>
  <c r="L17" i="70"/>
  <c r="M17" i="70"/>
  <c r="H17" i="71"/>
  <c r="H14" i="71"/>
  <c r="L27" i="69"/>
  <c r="H15" i="71"/>
  <c r="H18" i="71"/>
  <c r="L29" i="69"/>
  <c r="N380" i="66"/>
  <c r="P380" i="66"/>
  <c r="P122" i="66"/>
  <c r="L18" i="70"/>
  <c r="L32" i="69"/>
  <c r="Q28" i="67"/>
  <c r="G28" i="67"/>
  <c r="I26" i="67"/>
  <c r="I27" i="67"/>
  <c r="O24" i="67"/>
  <c r="Q22" i="67"/>
  <c r="Q18" i="67"/>
  <c r="G26" i="67"/>
  <c r="E26" i="67"/>
  <c r="C26" i="67"/>
  <c r="G24" i="67"/>
  <c r="E24" i="67"/>
  <c r="C24" i="67"/>
  <c r="G22" i="67"/>
  <c r="E22" i="67"/>
  <c r="C22" i="67"/>
  <c r="G20" i="67"/>
  <c r="E20" i="67"/>
  <c r="C20" i="67"/>
  <c r="G18" i="67"/>
  <c r="E18" i="67"/>
  <c r="C18" i="67"/>
  <c r="G16" i="67"/>
  <c r="Q27" i="67"/>
  <c r="O28" i="67"/>
  <c r="Q25" i="67"/>
  <c r="Q26" i="67"/>
  <c r="P25" i="67"/>
  <c r="N25" i="67"/>
  <c r="G25" i="67"/>
  <c r="Q23" i="67"/>
  <c r="M24" i="67"/>
  <c r="P23" i="67"/>
  <c r="N23" i="67"/>
  <c r="G23" i="67"/>
  <c r="Q21" i="67"/>
  <c r="O22" i="67"/>
  <c r="P21" i="67"/>
  <c r="N21" i="67"/>
  <c r="Q19" i="67"/>
  <c r="R19" i="67"/>
  <c r="P19" i="67"/>
  <c r="N19" i="67"/>
  <c r="Q17" i="67"/>
  <c r="O18" i="67"/>
  <c r="P17" i="67"/>
  <c r="N17" i="67"/>
  <c r="S16" i="67"/>
  <c r="S17" i="67"/>
  <c r="S18" i="67"/>
  <c r="S19" i="67"/>
  <c r="S20" i="67"/>
  <c r="S21" i="67"/>
  <c r="S22" i="67"/>
  <c r="S23" i="67"/>
  <c r="S24" i="67"/>
  <c r="S25" i="67"/>
  <c r="S26" i="67"/>
  <c r="S27" i="67"/>
  <c r="K16" i="67"/>
  <c r="K17" i="67"/>
  <c r="K18" i="67"/>
  <c r="K19" i="67"/>
  <c r="K20" i="67"/>
  <c r="K21" i="67"/>
  <c r="K22" i="67"/>
  <c r="K23" i="67"/>
  <c r="K24" i="67"/>
  <c r="K25" i="67"/>
  <c r="K26" i="67"/>
  <c r="K27" i="67"/>
  <c r="I16" i="67"/>
  <c r="I17" i="67"/>
  <c r="I18" i="67"/>
  <c r="I19" i="67"/>
  <c r="I20" i="67"/>
  <c r="I21" i="67"/>
  <c r="I22" i="67"/>
  <c r="I23" i="67"/>
  <c r="I24" i="67"/>
  <c r="I25" i="67"/>
  <c r="A16" i="67"/>
  <c r="A17" i="67"/>
  <c r="A18" i="67"/>
  <c r="A19" i="67"/>
  <c r="A20" i="67"/>
  <c r="A21" i="67"/>
  <c r="A22" i="67"/>
  <c r="A23" i="67"/>
  <c r="A24" i="67"/>
  <c r="A25" i="67"/>
  <c r="A26" i="67"/>
  <c r="A27" i="67"/>
  <c r="Q15" i="67"/>
  <c r="Q16" i="67"/>
  <c r="P15" i="67"/>
  <c r="N15" i="67"/>
  <c r="G15" i="67"/>
  <c r="E16" i="67"/>
  <c r="R17" i="67"/>
  <c r="R25" i="67"/>
  <c r="M20" i="67"/>
  <c r="Q24" i="67"/>
  <c r="O20" i="67"/>
  <c r="M26" i="67"/>
  <c r="R23" i="67"/>
  <c r="M16" i="67"/>
  <c r="Q20" i="67"/>
  <c r="O26" i="67"/>
  <c r="O16" i="67"/>
  <c r="M22" i="67"/>
  <c r="R21" i="67"/>
  <c r="M18" i="67"/>
  <c r="M28" i="67"/>
  <c r="R15" i="67"/>
  <c r="G21" i="67"/>
  <c r="G17" i="67"/>
  <c r="G19" i="67"/>
  <c r="C16" i="67"/>
  <c r="G27" i="67"/>
  <c r="H15" i="67"/>
  <c r="E27" i="67"/>
  <c r="C27" i="67"/>
  <c r="H19" i="67"/>
  <c r="H21" i="67"/>
  <c r="H23" i="67"/>
  <c r="H17" i="67"/>
  <c r="H25" i="67"/>
  <c r="F21" i="67"/>
  <c r="E28" i="67"/>
  <c r="F15" i="67"/>
  <c r="F25" i="67"/>
  <c r="F17" i="67"/>
  <c r="F23" i="67"/>
  <c r="F19" i="67"/>
  <c r="D19" i="67"/>
  <c r="D21" i="67"/>
  <c r="D17" i="67"/>
  <c r="D23" i="67"/>
  <c r="C28" i="67"/>
  <c r="D25" i="67"/>
  <c r="D15" i="67"/>
  <c r="H27" i="67"/>
  <c r="D27" i="67"/>
  <c r="F27" i="67"/>
  <c r="N356" i="66"/>
  <c r="M460" i="66"/>
  <c r="N460" i="66"/>
  <c r="M459" i="66"/>
  <c r="N459" i="66"/>
  <c r="M458" i="66"/>
  <c r="N458" i="66"/>
  <c r="M456" i="66"/>
  <c r="N456" i="66"/>
  <c r="M455" i="66"/>
  <c r="N455" i="66"/>
  <c r="M454" i="66"/>
  <c r="N454" i="66"/>
  <c r="M452" i="66"/>
  <c r="N452" i="66"/>
  <c r="M451" i="66"/>
  <c r="N451" i="66"/>
  <c r="M450" i="66"/>
  <c r="N450" i="66"/>
  <c r="M448" i="66"/>
  <c r="N448" i="66"/>
  <c r="M447" i="66"/>
  <c r="N447" i="66"/>
  <c r="M446" i="66"/>
  <c r="N446" i="66"/>
  <c r="M444" i="66"/>
  <c r="N444" i="66"/>
  <c r="M443" i="66"/>
  <c r="N443" i="66"/>
  <c r="M442" i="66"/>
  <c r="N442" i="66"/>
  <c r="M439" i="66"/>
  <c r="N439" i="66"/>
  <c r="N363" i="66"/>
  <c r="N512" i="66"/>
  <c r="K14" i="63"/>
  <c r="M440" i="66"/>
  <c r="N440" i="66"/>
  <c r="N364" i="66"/>
  <c r="N513" i="66"/>
  <c r="K16" i="63"/>
  <c r="M438" i="66"/>
  <c r="N438" i="66"/>
  <c r="N362" i="66"/>
  <c r="N511" i="66"/>
  <c r="N433" i="66"/>
  <c r="N432" i="66"/>
  <c r="N431" i="66"/>
  <c r="N429" i="66"/>
  <c r="N428" i="66"/>
  <c r="N427" i="66"/>
  <c r="N425" i="66"/>
  <c r="N424" i="66"/>
  <c r="N357" i="66"/>
  <c r="N369" i="66"/>
  <c r="N375" i="66"/>
  <c r="N412" i="66"/>
  <c r="N416" i="66"/>
  <c r="N420" i="66"/>
  <c r="N506" i="66"/>
  <c r="H14" i="63"/>
  <c r="N423" i="66"/>
  <c r="N421" i="66"/>
  <c r="N419" i="66"/>
  <c r="N417" i="66"/>
  <c r="N415" i="66"/>
  <c r="N413" i="66"/>
  <c r="N411" i="66"/>
  <c r="N406" i="66"/>
  <c r="N405" i="66"/>
  <c r="N404" i="66"/>
  <c r="N402" i="66"/>
  <c r="N401" i="66"/>
  <c r="N400" i="66"/>
  <c r="N398" i="66"/>
  <c r="N397" i="66"/>
  <c r="N396" i="66"/>
  <c r="N394" i="66"/>
  <c r="N393" i="66"/>
  <c r="N392" i="66"/>
  <c r="N390" i="66"/>
  <c r="N389" i="66"/>
  <c r="N388" i="66"/>
  <c r="N386" i="66"/>
  <c r="N385" i="66"/>
  <c r="N384" i="66"/>
  <c r="N376" i="66"/>
  <c r="N374" i="66"/>
  <c r="N377" i="66"/>
  <c r="N370" i="66"/>
  <c r="N368" i="66"/>
  <c r="N505" i="66"/>
  <c r="N365" i="66"/>
  <c r="N358" i="66"/>
  <c r="N507" i="66"/>
  <c r="H16" i="63"/>
  <c r="N359" i="66"/>
  <c r="K335" i="66"/>
  <c r="N335" i="66"/>
  <c r="K334" i="66"/>
  <c r="N334" i="66"/>
  <c r="K494" i="66"/>
  <c r="K488" i="66"/>
  <c r="K350" i="66"/>
  <c r="K344" i="66"/>
  <c r="L331" i="66"/>
  <c r="K322" i="66"/>
  <c r="M239" i="66"/>
  <c r="N239" i="66"/>
  <c r="M238" i="66"/>
  <c r="N238" i="66"/>
  <c r="M237" i="66"/>
  <c r="N237" i="66"/>
  <c r="M236" i="66"/>
  <c r="N236" i="66"/>
  <c r="M235" i="66"/>
  <c r="N235" i="66"/>
  <c r="M233" i="66"/>
  <c r="N233" i="66"/>
  <c r="M232" i="66"/>
  <c r="N232" i="66"/>
  <c r="M231" i="66"/>
  <c r="N231" i="66"/>
  <c r="M230" i="66"/>
  <c r="N230" i="66"/>
  <c r="M229" i="66"/>
  <c r="N229" i="66"/>
  <c r="M227" i="66"/>
  <c r="N227" i="66"/>
  <c r="M226" i="66"/>
  <c r="N226" i="66"/>
  <c r="M225" i="66"/>
  <c r="N225" i="66"/>
  <c r="M224" i="66"/>
  <c r="N224" i="66"/>
  <c r="M223" i="66"/>
  <c r="N223" i="66"/>
  <c r="M221" i="66"/>
  <c r="N221" i="66"/>
  <c r="M220" i="66"/>
  <c r="N220" i="66"/>
  <c r="M219" i="66"/>
  <c r="N219" i="66"/>
  <c r="M218" i="66"/>
  <c r="N218" i="66"/>
  <c r="M217" i="66"/>
  <c r="N217" i="66"/>
  <c r="M215" i="66"/>
  <c r="N215" i="66"/>
  <c r="M214" i="66"/>
  <c r="N214" i="66"/>
  <c r="M213" i="66"/>
  <c r="N213" i="66"/>
  <c r="M212" i="66"/>
  <c r="N212" i="66"/>
  <c r="M211" i="66"/>
  <c r="N211" i="66"/>
  <c r="M209" i="66"/>
  <c r="N209" i="66"/>
  <c r="M208" i="66"/>
  <c r="N208" i="66"/>
  <c r="M207" i="66"/>
  <c r="N207" i="66"/>
  <c r="M206" i="66"/>
  <c r="N206" i="66"/>
  <c r="M205" i="66"/>
  <c r="N205" i="66"/>
  <c r="N200" i="66"/>
  <c r="N199" i="66"/>
  <c r="N198" i="66"/>
  <c r="N197" i="66"/>
  <c r="N196" i="66"/>
  <c r="N194" i="66"/>
  <c r="N193" i="66"/>
  <c r="N192" i="66"/>
  <c r="N191" i="66"/>
  <c r="N190" i="66"/>
  <c r="N188" i="66"/>
  <c r="N187" i="66"/>
  <c r="N186" i="66"/>
  <c r="N185" i="66"/>
  <c r="N184" i="66"/>
  <c r="N182" i="66"/>
  <c r="N181" i="66"/>
  <c r="N180" i="66"/>
  <c r="N179" i="66"/>
  <c r="N178" i="66"/>
  <c r="N176" i="66"/>
  <c r="N175" i="66"/>
  <c r="N174" i="66"/>
  <c r="N173" i="66"/>
  <c r="N172" i="66"/>
  <c r="N170" i="66"/>
  <c r="N169" i="66"/>
  <c r="N168" i="66"/>
  <c r="N167" i="66"/>
  <c r="N166" i="66"/>
  <c r="N161" i="66"/>
  <c r="N160" i="66"/>
  <c r="N159" i="66"/>
  <c r="N158" i="66"/>
  <c r="N157" i="66"/>
  <c r="N155" i="66"/>
  <c r="N154" i="66"/>
  <c r="N153" i="66"/>
  <c r="N152" i="66"/>
  <c r="N151" i="66"/>
  <c r="N149" i="66"/>
  <c r="N148" i="66"/>
  <c r="N147" i="66"/>
  <c r="N146" i="66"/>
  <c r="N145" i="66"/>
  <c r="N143" i="66"/>
  <c r="N142" i="66"/>
  <c r="N141" i="66"/>
  <c r="N140" i="66"/>
  <c r="N139" i="66"/>
  <c r="N137" i="66"/>
  <c r="N136" i="66"/>
  <c r="N135" i="66"/>
  <c r="N134" i="66"/>
  <c r="N133" i="66"/>
  <c r="N131" i="66"/>
  <c r="N130" i="66"/>
  <c r="N129" i="66"/>
  <c r="N128" i="66"/>
  <c r="N127" i="66"/>
  <c r="K122" i="66"/>
  <c r="N122" i="66"/>
  <c r="K121" i="66"/>
  <c r="N121" i="66"/>
  <c r="N117" i="66"/>
  <c r="N116" i="66"/>
  <c r="N115" i="66"/>
  <c r="N114" i="66"/>
  <c r="N113" i="66"/>
  <c r="N109" i="66"/>
  <c r="N108" i="66"/>
  <c r="N107" i="66"/>
  <c r="N106" i="66"/>
  <c r="N105" i="66"/>
  <c r="N101" i="66"/>
  <c r="N100" i="66"/>
  <c r="N99" i="66"/>
  <c r="N98" i="66"/>
  <c r="N97" i="66"/>
  <c r="N93" i="66"/>
  <c r="N92" i="66"/>
  <c r="N91" i="66"/>
  <c r="N90" i="66"/>
  <c r="N89" i="66"/>
  <c r="N73" i="66"/>
  <c r="N72" i="66"/>
  <c r="N69" i="66"/>
  <c r="N68" i="66"/>
  <c r="L59" i="66"/>
  <c r="L58" i="66"/>
  <c r="L19" i="66"/>
  <c r="L18" i="66"/>
  <c r="L7" i="66"/>
  <c r="G4" i="66"/>
  <c r="G5" i="66"/>
  <c r="G6" i="66"/>
  <c r="G7" i="66"/>
  <c r="G8" i="66"/>
  <c r="G9" i="66"/>
  <c r="G10" i="66"/>
  <c r="G11" i="66"/>
  <c r="G12" i="66"/>
  <c r="G13" i="66"/>
  <c r="G14" i="66"/>
  <c r="G15" i="66"/>
  <c r="G16" i="66"/>
  <c r="G17" i="66"/>
  <c r="G18" i="66"/>
  <c r="G19" i="66"/>
  <c r="G20" i="66"/>
  <c r="G21" i="66"/>
  <c r="G22" i="66"/>
  <c r="G23" i="66"/>
  <c r="G24" i="66"/>
  <c r="G25" i="66"/>
  <c r="G26" i="66"/>
  <c r="G27" i="66"/>
  <c r="G28" i="66"/>
  <c r="G29" i="66"/>
  <c r="G30" i="66"/>
  <c r="G31" i="66"/>
  <c r="G32" i="66"/>
  <c r="G33" i="66"/>
  <c r="G34" i="66"/>
  <c r="G35" i="66"/>
  <c r="G36" i="66"/>
  <c r="G37" i="66"/>
  <c r="G38" i="66"/>
  <c r="G39" i="66"/>
  <c r="G40" i="66"/>
  <c r="G41" i="66"/>
  <c r="G42" i="66"/>
  <c r="G43" i="66"/>
  <c r="G44" i="66"/>
  <c r="G45" i="66"/>
  <c r="G46" i="66"/>
  <c r="G47" i="66"/>
  <c r="G48" i="66"/>
  <c r="G49" i="66"/>
  <c r="G50" i="66"/>
  <c r="G51" i="66"/>
  <c r="G52" i="66"/>
  <c r="G53" i="66"/>
  <c r="G54" i="66"/>
  <c r="G55" i="66"/>
  <c r="G56" i="66"/>
  <c r="G57" i="66"/>
  <c r="G58" i="66"/>
  <c r="G59" i="66"/>
  <c r="G60" i="66"/>
  <c r="G61" i="66"/>
  <c r="G62" i="66"/>
  <c r="G63" i="66"/>
  <c r="G64" i="66"/>
  <c r="G65" i="66"/>
  <c r="G66" i="66"/>
  <c r="G67" i="66"/>
  <c r="G68" i="66"/>
  <c r="G69" i="66"/>
  <c r="G70" i="66"/>
  <c r="G71" i="66"/>
  <c r="G72" i="66"/>
  <c r="G73" i="66"/>
  <c r="G74" i="66"/>
  <c r="G75" i="66"/>
  <c r="G76" i="66"/>
  <c r="G77" i="66"/>
  <c r="G78" i="66"/>
  <c r="G79" i="66"/>
  <c r="G80" i="66"/>
  <c r="G81" i="66"/>
  <c r="G82" i="66"/>
  <c r="G83" i="66"/>
  <c r="G84" i="66"/>
  <c r="G85" i="66"/>
  <c r="G86" i="66"/>
  <c r="G87" i="66"/>
  <c r="G88" i="66"/>
  <c r="G89" i="66"/>
  <c r="G90" i="66"/>
  <c r="G91" i="66"/>
  <c r="G92" i="66"/>
  <c r="G93" i="66"/>
  <c r="G94" i="66"/>
  <c r="G95" i="66"/>
  <c r="G96" i="66"/>
  <c r="G97" i="66"/>
  <c r="G98" i="66"/>
  <c r="G99" i="66"/>
  <c r="G100" i="66"/>
  <c r="G101" i="66"/>
  <c r="G102" i="66"/>
  <c r="G103" i="66"/>
  <c r="G104" i="66"/>
  <c r="G105" i="66"/>
  <c r="G106" i="66"/>
  <c r="G107" i="66"/>
  <c r="G108" i="66"/>
  <c r="G109" i="66"/>
  <c r="G110" i="66"/>
  <c r="G111" i="66"/>
  <c r="G112" i="66"/>
  <c r="G113" i="66"/>
  <c r="G114" i="66"/>
  <c r="G115" i="66"/>
  <c r="G116" i="66"/>
  <c r="G117" i="66"/>
  <c r="G118" i="66"/>
  <c r="G119" i="66"/>
  <c r="G120" i="66"/>
  <c r="G121" i="66"/>
  <c r="G122" i="66"/>
  <c r="G123" i="66"/>
  <c r="G124" i="66"/>
  <c r="G125" i="66"/>
  <c r="G126" i="66"/>
  <c r="G127" i="66"/>
  <c r="G128" i="66"/>
  <c r="G129" i="66"/>
  <c r="G130" i="66"/>
  <c r="G131" i="66"/>
  <c r="G132" i="66"/>
  <c r="G133" i="66"/>
  <c r="G134" i="66"/>
  <c r="G135" i="66"/>
  <c r="G136" i="66"/>
  <c r="A4" i="66"/>
  <c r="A5" i="66"/>
  <c r="A6" i="66"/>
  <c r="A7" i="66"/>
  <c r="A8" i="66"/>
  <c r="A9" i="66"/>
  <c r="A10" i="66"/>
  <c r="A11" i="66"/>
  <c r="A12" i="66"/>
  <c r="A13" i="66"/>
  <c r="A14" i="66"/>
  <c r="A15" i="66"/>
  <c r="A16" i="66"/>
  <c r="A17" i="66"/>
  <c r="A18" i="66"/>
  <c r="A19" i="66"/>
  <c r="A20" i="66"/>
  <c r="A21" i="66"/>
  <c r="A22" i="66"/>
  <c r="A23" i="66"/>
  <c r="A24" i="66"/>
  <c r="A25" i="66"/>
  <c r="A26" i="66"/>
  <c r="A27" i="66"/>
  <c r="A28" i="66"/>
  <c r="A29" i="66"/>
  <c r="A30" i="66"/>
  <c r="A31" i="66"/>
  <c r="A32" i="66"/>
  <c r="A33" i="66"/>
  <c r="A34" i="66"/>
  <c r="A35" i="66"/>
  <c r="A36" i="66"/>
  <c r="A37" i="66"/>
  <c r="A38" i="66"/>
  <c r="A39" i="66"/>
  <c r="A40" i="66"/>
  <c r="A41" i="66"/>
  <c r="A42" i="66"/>
  <c r="A43" i="66"/>
  <c r="A44" i="66"/>
  <c r="A45" i="66"/>
  <c r="A46" i="66"/>
  <c r="A47" i="66"/>
  <c r="A48" i="66"/>
  <c r="A49" i="66"/>
  <c r="A50" i="66"/>
  <c r="A51" i="66"/>
  <c r="A52" i="66"/>
  <c r="A53" i="66"/>
  <c r="A54" i="66"/>
  <c r="A55" i="66"/>
  <c r="A56" i="66"/>
  <c r="A57" i="66"/>
  <c r="A58" i="66"/>
  <c r="A59" i="66"/>
  <c r="A60" i="66"/>
  <c r="A61" i="66"/>
  <c r="A62" i="66"/>
  <c r="A63" i="66"/>
  <c r="A64" i="66"/>
  <c r="A65" i="66"/>
  <c r="A66" i="66"/>
  <c r="A67" i="66"/>
  <c r="A68" i="66"/>
  <c r="A69" i="66"/>
  <c r="A70" i="66"/>
  <c r="A71" i="66"/>
  <c r="A72" i="66"/>
  <c r="A73" i="66"/>
  <c r="A74" i="66"/>
  <c r="A75" i="66"/>
  <c r="A76" i="66"/>
  <c r="A77" i="66"/>
  <c r="A78" i="66"/>
  <c r="A79" i="66"/>
  <c r="A80" i="66"/>
  <c r="A81" i="66"/>
  <c r="A82" i="66"/>
  <c r="A83" i="66"/>
  <c r="A84" i="66"/>
  <c r="A85" i="66"/>
  <c r="A86" i="66"/>
  <c r="A87" i="66"/>
  <c r="A88" i="66"/>
  <c r="A89" i="66"/>
  <c r="A90" i="66"/>
  <c r="A91" i="66"/>
  <c r="A92" i="66"/>
  <c r="A93" i="66"/>
  <c r="A94" i="66"/>
  <c r="A95" i="66"/>
  <c r="A96" i="66"/>
  <c r="A97" i="66"/>
  <c r="A98" i="66"/>
  <c r="A99" i="66"/>
  <c r="A100" i="66"/>
  <c r="A101" i="66"/>
  <c r="A102" i="66"/>
  <c r="A103" i="66"/>
  <c r="A104" i="66"/>
  <c r="A105" i="66"/>
  <c r="A106" i="66"/>
  <c r="A107" i="66"/>
  <c r="A108" i="66"/>
  <c r="A109" i="66"/>
  <c r="A110" i="66"/>
  <c r="A111" i="66"/>
  <c r="A112" i="66"/>
  <c r="A113" i="66"/>
  <c r="A114" i="66"/>
  <c r="A115" i="66"/>
  <c r="A116" i="66"/>
  <c r="A117" i="66"/>
  <c r="A118" i="66"/>
  <c r="A119" i="66"/>
  <c r="A120" i="66"/>
  <c r="A121" i="66"/>
  <c r="A122" i="66"/>
  <c r="A123" i="66"/>
  <c r="A124" i="66"/>
  <c r="A125" i="66"/>
  <c r="A126" i="66"/>
  <c r="A127" i="66"/>
  <c r="A128" i="66"/>
  <c r="A129" i="66"/>
  <c r="A130" i="66"/>
  <c r="A131" i="66"/>
  <c r="A132" i="66"/>
  <c r="A133" i="66"/>
  <c r="A134" i="66"/>
  <c r="A135" i="66"/>
  <c r="A136" i="66"/>
  <c r="AD243" i="65"/>
  <c r="AB243" i="65"/>
  <c r="X243" i="65"/>
  <c r="Y243" i="65"/>
  <c r="Z243" i="65"/>
  <c r="R243" i="65"/>
  <c r="S243" i="65"/>
  <c r="T243" i="65"/>
  <c r="AB242" i="65"/>
  <c r="X242" i="65"/>
  <c r="Y242" i="65"/>
  <c r="Z242" i="65"/>
  <c r="R242" i="65"/>
  <c r="S242" i="65"/>
  <c r="T242" i="65"/>
  <c r="AB241" i="65"/>
  <c r="X241" i="65"/>
  <c r="Y241" i="65"/>
  <c r="Z241" i="65"/>
  <c r="R241" i="65"/>
  <c r="S241" i="65"/>
  <c r="T241" i="65"/>
  <c r="AB239" i="65"/>
  <c r="X239" i="65"/>
  <c r="Y239" i="65"/>
  <c r="Z239" i="65"/>
  <c r="R239" i="65"/>
  <c r="S239" i="65"/>
  <c r="T239" i="65"/>
  <c r="AB238" i="65"/>
  <c r="X238" i="65"/>
  <c r="Y238" i="65"/>
  <c r="Z238" i="65"/>
  <c r="R238" i="65"/>
  <c r="S238" i="65"/>
  <c r="T238" i="65"/>
  <c r="AB237" i="65"/>
  <c r="X237" i="65"/>
  <c r="Y237" i="65"/>
  <c r="Z237" i="65"/>
  <c r="R237" i="65"/>
  <c r="S237" i="65"/>
  <c r="T237" i="65"/>
  <c r="AB235" i="65"/>
  <c r="X235" i="65"/>
  <c r="Y235" i="65"/>
  <c r="Z235" i="65"/>
  <c r="R235" i="65"/>
  <c r="S235" i="65"/>
  <c r="T235" i="65"/>
  <c r="AB234" i="65"/>
  <c r="X234" i="65"/>
  <c r="Y234" i="65"/>
  <c r="Z234" i="65"/>
  <c r="R234" i="65"/>
  <c r="S234" i="65"/>
  <c r="T234" i="65"/>
  <c r="AB233" i="65"/>
  <c r="X233" i="65"/>
  <c r="Y233" i="65"/>
  <c r="Z233" i="65"/>
  <c r="R233" i="65"/>
  <c r="S233" i="65"/>
  <c r="T233" i="65"/>
  <c r="AB231" i="65"/>
  <c r="X231" i="65"/>
  <c r="Y231" i="65"/>
  <c r="Z231" i="65"/>
  <c r="R231" i="65"/>
  <c r="S231" i="65"/>
  <c r="T231" i="65"/>
  <c r="AB230" i="65"/>
  <c r="X230" i="65"/>
  <c r="Y230" i="65"/>
  <c r="Z230" i="65"/>
  <c r="R230" i="65"/>
  <c r="S230" i="65"/>
  <c r="T230" i="65"/>
  <c r="AB229" i="65"/>
  <c r="X229" i="65"/>
  <c r="Y229" i="65"/>
  <c r="Z229" i="65"/>
  <c r="R229" i="65"/>
  <c r="S229" i="65"/>
  <c r="T229" i="65"/>
  <c r="AB227" i="65"/>
  <c r="X227" i="65"/>
  <c r="Y227" i="65"/>
  <c r="Z227" i="65"/>
  <c r="R227" i="65"/>
  <c r="S227" i="65"/>
  <c r="T227" i="65"/>
  <c r="AD226" i="65"/>
  <c r="AE226" i="65"/>
  <c r="AF226" i="65"/>
  <c r="AB226" i="65"/>
  <c r="X226" i="65"/>
  <c r="Y226" i="65"/>
  <c r="Z226" i="65"/>
  <c r="R226" i="65"/>
  <c r="S226" i="65"/>
  <c r="T226" i="65"/>
  <c r="AB225" i="65"/>
  <c r="X225" i="65"/>
  <c r="Y225" i="65"/>
  <c r="Z225" i="65"/>
  <c r="R225" i="65"/>
  <c r="S225" i="65"/>
  <c r="T225" i="65"/>
  <c r="AB223" i="65"/>
  <c r="X223" i="65"/>
  <c r="Y223" i="65"/>
  <c r="Z223" i="65"/>
  <c r="R223" i="65"/>
  <c r="S223" i="65"/>
  <c r="T223" i="65"/>
  <c r="AD222" i="65"/>
  <c r="AE222" i="65"/>
  <c r="AF222" i="65"/>
  <c r="AB222" i="65"/>
  <c r="X222" i="65"/>
  <c r="Y222" i="65"/>
  <c r="Z222" i="65"/>
  <c r="R222" i="65"/>
  <c r="S222" i="65"/>
  <c r="T222" i="65"/>
  <c r="AB221" i="65"/>
  <c r="X221" i="65"/>
  <c r="Y221" i="65"/>
  <c r="Z221" i="65"/>
  <c r="R221" i="65"/>
  <c r="S221" i="65"/>
  <c r="T221" i="65"/>
  <c r="AD219" i="65"/>
  <c r="AE219" i="65"/>
  <c r="AF219" i="65"/>
  <c r="AB219" i="65"/>
  <c r="X219" i="65"/>
  <c r="Y219" i="65"/>
  <c r="Z219" i="65"/>
  <c r="R219" i="65"/>
  <c r="S219" i="65"/>
  <c r="T219" i="65"/>
  <c r="AB218" i="65"/>
  <c r="X218" i="65"/>
  <c r="Y218" i="65"/>
  <c r="Z218" i="65"/>
  <c r="R218" i="65"/>
  <c r="S218" i="65"/>
  <c r="T218" i="65"/>
  <c r="AB217" i="65"/>
  <c r="X217" i="65"/>
  <c r="Y217" i="65"/>
  <c r="Z217" i="65"/>
  <c r="R217" i="65"/>
  <c r="S217" i="65"/>
  <c r="T217" i="65"/>
  <c r="AB215" i="65"/>
  <c r="X215" i="65"/>
  <c r="Y215" i="65"/>
  <c r="Z215" i="65"/>
  <c r="R215" i="65"/>
  <c r="S215" i="65"/>
  <c r="T215" i="65"/>
  <c r="AD214" i="65"/>
  <c r="AE214" i="65"/>
  <c r="AF214" i="65"/>
  <c r="AB214" i="65"/>
  <c r="X214" i="65"/>
  <c r="Y214" i="65"/>
  <c r="Z214" i="65"/>
  <c r="R214" i="65"/>
  <c r="S214" i="65"/>
  <c r="T214" i="65"/>
  <c r="AB213" i="65"/>
  <c r="X213" i="65"/>
  <c r="Y213" i="65"/>
  <c r="Z213" i="65"/>
  <c r="R213" i="65"/>
  <c r="S213" i="65"/>
  <c r="T213" i="65"/>
  <c r="AB211" i="65"/>
  <c r="X211" i="65"/>
  <c r="Y211" i="65"/>
  <c r="Z211" i="65"/>
  <c r="R211" i="65"/>
  <c r="S211" i="65"/>
  <c r="T211" i="65"/>
  <c r="AD210" i="65"/>
  <c r="AE210" i="65"/>
  <c r="AF210" i="65"/>
  <c r="AB210" i="65"/>
  <c r="X210" i="65"/>
  <c r="Y210" i="65"/>
  <c r="Z210" i="65"/>
  <c r="R210" i="65"/>
  <c r="S210" i="65"/>
  <c r="T210" i="65"/>
  <c r="AB209" i="65"/>
  <c r="X209" i="65"/>
  <c r="Y209" i="65"/>
  <c r="Z209" i="65"/>
  <c r="R209" i="65"/>
  <c r="S209" i="65"/>
  <c r="T209" i="65"/>
  <c r="AB207" i="65"/>
  <c r="X207" i="65"/>
  <c r="Y207" i="65"/>
  <c r="Z207" i="65"/>
  <c r="R207" i="65"/>
  <c r="S207" i="65"/>
  <c r="T207" i="65"/>
  <c r="AB206" i="65"/>
  <c r="X206" i="65"/>
  <c r="Y206" i="65"/>
  <c r="Z206" i="65"/>
  <c r="R206" i="65"/>
  <c r="S206" i="65"/>
  <c r="T206" i="65"/>
  <c r="AB205" i="65"/>
  <c r="X205" i="65"/>
  <c r="Y205" i="65"/>
  <c r="Z205" i="65"/>
  <c r="R205" i="65"/>
  <c r="S205" i="65"/>
  <c r="T205" i="65"/>
  <c r="AB203" i="65"/>
  <c r="X203" i="65"/>
  <c r="Y203" i="65"/>
  <c r="Z203" i="65"/>
  <c r="R203" i="65"/>
  <c r="S203" i="65"/>
  <c r="T203" i="65"/>
  <c r="AD202" i="65"/>
  <c r="AE202" i="65"/>
  <c r="AF202" i="65"/>
  <c r="AB202" i="65"/>
  <c r="X202" i="65"/>
  <c r="Y202" i="65"/>
  <c r="Z202" i="65"/>
  <c r="R202" i="65"/>
  <c r="S202" i="65"/>
  <c r="T202" i="65"/>
  <c r="AB201" i="65"/>
  <c r="X201" i="65"/>
  <c r="Y201" i="65"/>
  <c r="Z201" i="65"/>
  <c r="R201" i="65"/>
  <c r="S201" i="65"/>
  <c r="T201" i="65"/>
  <c r="AB199" i="65"/>
  <c r="X199" i="65"/>
  <c r="Y199" i="65"/>
  <c r="Z199" i="65"/>
  <c r="R199" i="65"/>
  <c r="S199" i="65"/>
  <c r="T199" i="65"/>
  <c r="AB198" i="65"/>
  <c r="X198" i="65"/>
  <c r="Y198" i="65"/>
  <c r="Z198" i="65"/>
  <c r="R198" i="65"/>
  <c r="S198" i="65"/>
  <c r="T198" i="65"/>
  <c r="AB197" i="65"/>
  <c r="X197" i="65"/>
  <c r="Y197" i="65"/>
  <c r="Z197" i="65"/>
  <c r="R197" i="65"/>
  <c r="S197" i="65"/>
  <c r="T197" i="65"/>
  <c r="AB195" i="65"/>
  <c r="X195" i="65"/>
  <c r="R195" i="65"/>
  <c r="S195" i="65"/>
  <c r="AB194" i="65"/>
  <c r="X194" i="65"/>
  <c r="Y194" i="65"/>
  <c r="R194" i="65"/>
  <c r="S194" i="65"/>
  <c r="AB193" i="65"/>
  <c r="X193" i="65"/>
  <c r="R193" i="65"/>
  <c r="K190" i="65"/>
  <c r="K191" i="65"/>
  <c r="K192" i="65"/>
  <c r="K193" i="65"/>
  <c r="K194" i="65"/>
  <c r="K195" i="65"/>
  <c r="K196" i="65"/>
  <c r="K197" i="65"/>
  <c r="K198" i="65"/>
  <c r="K199" i="65"/>
  <c r="K200" i="65"/>
  <c r="K201" i="65"/>
  <c r="K202" i="65"/>
  <c r="K203" i="65"/>
  <c r="K204" i="65"/>
  <c r="K205" i="65"/>
  <c r="K206" i="65"/>
  <c r="K207" i="65"/>
  <c r="K208" i="65"/>
  <c r="K209" i="65"/>
  <c r="K210" i="65"/>
  <c r="K211" i="65"/>
  <c r="K212" i="65"/>
  <c r="K213" i="65"/>
  <c r="K214" i="65"/>
  <c r="K215" i="65"/>
  <c r="K216" i="65"/>
  <c r="K217" i="65"/>
  <c r="K218" i="65"/>
  <c r="K219" i="65"/>
  <c r="K220" i="65"/>
  <c r="K221" i="65"/>
  <c r="K222" i="65"/>
  <c r="K223" i="65"/>
  <c r="K224" i="65"/>
  <c r="K225" i="65"/>
  <c r="K226" i="65"/>
  <c r="K227" i="65"/>
  <c r="K228" i="65"/>
  <c r="K229" i="65"/>
  <c r="K230" i="65"/>
  <c r="K231" i="65"/>
  <c r="K232" i="65"/>
  <c r="K233" i="65"/>
  <c r="K234" i="65"/>
  <c r="K235" i="65"/>
  <c r="K236" i="65"/>
  <c r="K237" i="65"/>
  <c r="K238" i="65"/>
  <c r="K239" i="65"/>
  <c r="K240" i="65"/>
  <c r="K241" i="65"/>
  <c r="K242" i="65"/>
  <c r="K243" i="65"/>
  <c r="AB186" i="65"/>
  <c r="X186" i="65"/>
  <c r="Y186" i="65"/>
  <c r="Z186" i="65"/>
  <c r="R186" i="65"/>
  <c r="S186" i="65"/>
  <c r="T186" i="65"/>
  <c r="AB185" i="65"/>
  <c r="AD185" i="65"/>
  <c r="AE185" i="65"/>
  <c r="AF185" i="65"/>
  <c r="X185" i="65"/>
  <c r="Y185" i="65"/>
  <c r="Z185" i="65"/>
  <c r="R185" i="65"/>
  <c r="S185" i="65"/>
  <c r="T185" i="65"/>
  <c r="AB184" i="65"/>
  <c r="X184" i="65"/>
  <c r="Y184" i="65"/>
  <c r="Z184" i="65"/>
  <c r="R184" i="65"/>
  <c r="S184" i="65"/>
  <c r="T184" i="65"/>
  <c r="AB183" i="65"/>
  <c r="X183" i="65"/>
  <c r="Y183" i="65"/>
  <c r="Z183" i="65"/>
  <c r="R183" i="65"/>
  <c r="S183" i="65"/>
  <c r="T183" i="65"/>
  <c r="AB182" i="65"/>
  <c r="X182" i="65"/>
  <c r="Y182" i="65"/>
  <c r="Z182" i="65"/>
  <c r="R182" i="65"/>
  <c r="S182" i="65"/>
  <c r="T182" i="65"/>
  <c r="AB180" i="65"/>
  <c r="X180" i="65"/>
  <c r="Y180" i="65"/>
  <c r="Z180" i="65"/>
  <c r="R180" i="65"/>
  <c r="S180" i="65"/>
  <c r="T180" i="65"/>
  <c r="AB179" i="65"/>
  <c r="X179" i="65"/>
  <c r="Y179" i="65"/>
  <c r="Z179" i="65"/>
  <c r="R179" i="65"/>
  <c r="S179" i="65"/>
  <c r="T179" i="65"/>
  <c r="AB178" i="65"/>
  <c r="X178" i="65"/>
  <c r="Y178" i="65"/>
  <c r="Z178" i="65"/>
  <c r="R178" i="65"/>
  <c r="S178" i="65"/>
  <c r="T178" i="65"/>
  <c r="AD177" i="65"/>
  <c r="AE177" i="65"/>
  <c r="AF177" i="65"/>
  <c r="AB177" i="65"/>
  <c r="X177" i="65"/>
  <c r="Y177" i="65"/>
  <c r="Z177" i="65"/>
  <c r="R177" i="65"/>
  <c r="S177" i="65"/>
  <c r="T177" i="65"/>
  <c r="AB176" i="65"/>
  <c r="X176" i="65"/>
  <c r="Y176" i="65"/>
  <c r="Z176" i="65"/>
  <c r="R176" i="65"/>
  <c r="S176" i="65"/>
  <c r="T176" i="65"/>
  <c r="AB174" i="65"/>
  <c r="X174" i="65"/>
  <c r="Y174" i="65"/>
  <c r="Z174" i="65"/>
  <c r="R174" i="65"/>
  <c r="S174" i="65"/>
  <c r="T174" i="65"/>
  <c r="AD173" i="65"/>
  <c r="AE173" i="65"/>
  <c r="AF173" i="65"/>
  <c r="AB173" i="65"/>
  <c r="X173" i="65"/>
  <c r="Y173" i="65"/>
  <c r="Z173" i="65"/>
  <c r="R173" i="65"/>
  <c r="S173" i="65"/>
  <c r="T173" i="65"/>
  <c r="AB172" i="65"/>
  <c r="X172" i="65"/>
  <c r="Y172" i="65"/>
  <c r="Z172" i="65"/>
  <c r="R172" i="65"/>
  <c r="S172" i="65"/>
  <c r="T172" i="65"/>
  <c r="AD171" i="65"/>
  <c r="AE171" i="65"/>
  <c r="AF171" i="65"/>
  <c r="AB171" i="65"/>
  <c r="X171" i="65"/>
  <c r="Y171" i="65"/>
  <c r="Z171" i="65"/>
  <c r="R171" i="65"/>
  <c r="S171" i="65"/>
  <c r="T171" i="65"/>
  <c r="AB170" i="65"/>
  <c r="X170" i="65"/>
  <c r="Y170" i="65"/>
  <c r="Z170" i="65"/>
  <c r="R170" i="65"/>
  <c r="S170" i="65"/>
  <c r="T170" i="65"/>
  <c r="AB168" i="65"/>
  <c r="X168" i="65"/>
  <c r="Y168" i="65"/>
  <c r="Z168" i="65"/>
  <c r="R168" i="65"/>
  <c r="S168" i="65"/>
  <c r="T168" i="65"/>
  <c r="AD167" i="65"/>
  <c r="AE167" i="65"/>
  <c r="AF167" i="65"/>
  <c r="AB167" i="65"/>
  <c r="X167" i="65"/>
  <c r="Y167" i="65"/>
  <c r="Z167" i="65"/>
  <c r="R167" i="65"/>
  <c r="S167" i="65"/>
  <c r="T167" i="65"/>
  <c r="AD166" i="65"/>
  <c r="AE166" i="65"/>
  <c r="AF166" i="65"/>
  <c r="AB166" i="65"/>
  <c r="X166" i="65"/>
  <c r="Y166" i="65"/>
  <c r="Z166" i="65"/>
  <c r="R166" i="65"/>
  <c r="S166" i="65"/>
  <c r="T166" i="65"/>
  <c r="AB165" i="65"/>
  <c r="X165" i="65"/>
  <c r="Y165" i="65"/>
  <c r="Z165" i="65"/>
  <c r="R165" i="65"/>
  <c r="S165" i="65"/>
  <c r="T165" i="65"/>
  <c r="AB164" i="65"/>
  <c r="X164" i="65"/>
  <c r="Y164" i="65"/>
  <c r="Z164" i="65"/>
  <c r="R164" i="65"/>
  <c r="S164" i="65"/>
  <c r="T164" i="65"/>
  <c r="AB162" i="65"/>
  <c r="X162" i="65"/>
  <c r="Y162" i="65"/>
  <c r="Z162" i="65"/>
  <c r="R162" i="65"/>
  <c r="S162" i="65"/>
  <c r="T162" i="65"/>
  <c r="AB161" i="65"/>
  <c r="X161" i="65"/>
  <c r="Y161" i="65"/>
  <c r="Z161" i="65"/>
  <c r="R161" i="65"/>
  <c r="S161" i="65"/>
  <c r="T161" i="65"/>
  <c r="AB160" i="65"/>
  <c r="X160" i="65"/>
  <c r="Y160" i="65"/>
  <c r="Z160" i="65"/>
  <c r="R160" i="65"/>
  <c r="S160" i="65"/>
  <c r="T160" i="65"/>
  <c r="AB159" i="65"/>
  <c r="X159" i="65"/>
  <c r="Y159" i="65"/>
  <c r="Z159" i="65"/>
  <c r="R159" i="65"/>
  <c r="S159" i="65"/>
  <c r="T159" i="65"/>
  <c r="AB158" i="65"/>
  <c r="X158" i="65"/>
  <c r="Y158" i="65"/>
  <c r="Z158" i="65"/>
  <c r="R158" i="65"/>
  <c r="S158" i="65"/>
  <c r="T158" i="65"/>
  <c r="AB156" i="65"/>
  <c r="X156" i="65"/>
  <c r="Y156" i="65"/>
  <c r="Z156" i="65"/>
  <c r="R156" i="65"/>
  <c r="S156" i="65"/>
  <c r="T156" i="65"/>
  <c r="AB155" i="65"/>
  <c r="X155" i="65"/>
  <c r="Y155" i="65"/>
  <c r="Z155" i="65"/>
  <c r="R155" i="65"/>
  <c r="S155" i="65"/>
  <c r="T155" i="65"/>
  <c r="AB154" i="65"/>
  <c r="X154" i="65"/>
  <c r="Y154" i="65"/>
  <c r="Z154" i="65"/>
  <c r="R154" i="65"/>
  <c r="S154" i="65"/>
  <c r="T154" i="65"/>
  <c r="AB153" i="65"/>
  <c r="AD153" i="65"/>
  <c r="AE153" i="65"/>
  <c r="AF153" i="65"/>
  <c r="X153" i="65"/>
  <c r="Y153" i="65"/>
  <c r="Z153" i="65"/>
  <c r="R153" i="65"/>
  <c r="S153" i="65"/>
  <c r="T153" i="65"/>
  <c r="AB152" i="65"/>
  <c r="X152" i="65"/>
  <c r="Y152" i="65"/>
  <c r="Z152" i="65"/>
  <c r="R152" i="65"/>
  <c r="S152" i="65"/>
  <c r="T152" i="65"/>
  <c r="AB150" i="65"/>
  <c r="X150" i="65"/>
  <c r="Y150" i="65"/>
  <c r="Z150" i="65"/>
  <c r="R150" i="65"/>
  <c r="S150" i="65"/>
  <c r="T150" i="65"/>
  <c r="AB149" i="65"/>
  <c r="X149" i="65"/>
  <c r="Y149" i="65"/>
  <c r="Z149" i="65"/>
  <c r="R149" i="65"/>
  <c r="S149" i="65"/>
  <c r="T149" i="65"/>
  <c r="AB148" i="65"/>
  <c r="X148" i="65"/>
  <c r="Y148" i="65"/>
  <c r="Z148" i="65"/>
  <c r="R148" i="65"/>
  <c r="S148" i="65"/>
  <c r="T148" i="65"/>
  <c r="AB147" i="65"/>
  <c r="X147" i="65"/>
  <c r="Y147" i="65"/>
  <c r="Z147" i="65"/>
  <c r="R147" i="65"/>
  <c r="S147" i="65"/>
  <c r="T147" i="65"/>
  <c r="AB146" i="65"/>
  <c r="X146" i="65"/>
  <c r="Y146" i="65"/>
  <c r="Z146" i="65"/>
  <c r="R146" i="65"/>
  <c r="S146" i="65"/>
  <c r="T146" i="65"/>
  <c r="AB144" i="65"/>
  <c r="X144" i="65"/>
  <c r="Y144" i="65"/>
  <c r="Z144" i="65"/>
  <c r="R144" i="65"/>
  <c r="S144" i="65"/>
  <c r="T144" i="65"/>
  <c r="AB143" i="65"/>
  <c r="X143" i="65"/>
  <c r="Y143" i="65"/>
  <c r="Z143" i="65"/>
  <c r="R143" i="65"/>
  <c r="S143" i="65"/>
  <c r="T143" i="65"/>
  <c r="AB142" i="65"/>
  <c r="X142" i="65"/>
  <c r="Y142" i="65"/>
  <c r="Z142" i="65"/>
  <c r="R142" i="65"/>
  <c r="S142" i="65"/>
  <c r="T142" i="65"/>
  <c r="AD141" i="65"/>
  <c r="AE141" i="65"/>
  <c r="AF141" i="65"/>
  <c r="AB141" i="65"/>
  <c r="X141" i="65"/>
  <c r="Y141" i="65"/>
  <c r="Z141" i="65"/>
  <c r="R141" i="65"/>
  <c r="S141" i="65"/>
  <c r="T141" i="65"/>
  <c r="AB140" i="65"/>
  <c r="X140" i="65"/>
  <c r="Y140" i="65"/>
  <c r="Z140" i="65"/>
  <c r="R140" i="65"/>
  <c r="S140" i="65"/>
  <c r="T140" i="65"/>
  <c r="AB138" i="65"/>
  <c r="X138" i="65"/>
  <c r="Y138" i="65"/>
  <c r="Z138" i="65"/>
  <c r="R138" i="65"/>
  <c r="S138" i="65"/>
  <c r="T138" i="65"/>
  <c r="AB137" i="65"/>
  <c r="X137" i="65"/>
  <c r="Y137" i="65"/>
  <c r="Z137" i="65"/>
  <c r="R137" i="65"/>
  <c r="S137" i="65"/>
  <c r="T137" i="65"/>
  <c r="AB136" i="65"/>
  <c r="X136" i="65"/>
  <c r="Y136" i="65"/>
  <c r="Z136" i="65"/>
  <c r="R136" i="65"/>
  <c r="S136" i="65"/>
  <c r="T136" i="65"/>
  <c r="AB135" i="65"/>
  <c r="X135" i="65"/>
  <c r="Y135" i="65"/>
  <c r="Z135" i="65"/>
  <c r="R135" i="65"/>
  <c r="S135" i="65"/>
  <c r="T135" i="65"/>
  <c r="AB134" i="65"/>
  <c r="X134" i="65"/>
  <c r="Y134" i="65"/>
  <c r="Z134" i="65"/>
  <c r="R134" i="65"/>
  <c r="S134" i="65"/>
  <c r="T134" i="65"/>
  <c r="AB131" i="65"/>
  <c r="X131" i="65"/>
  <c r="Y131" i="65"/>
  <c r="Z131" i="65"/>
  <c r="R131" i="65"/>
  <c r="S131" i="65"/>
  <c r="T131" i="65"/>
  <c r="AB130" i="65"/>
  <c r="X130" i="65"/>
  <c r="Y130" i="65"/>
  <c r="Z130" i="65"/>
  <c r="R130" i="65"/>
  <c r="S130" i="65"/>
  <c r="T130" i="65"/>
  <c r="AB129" i="65"/>
  <c r="X129" i="65"/>
  <c r="Y129" i="65"/>
  <c r="Z129" i="65"/>
  <c r="R129" i="65"/>
  <c r="S129" i="65"/>
  <c r="T129" i="65"/>
  <c r="AB128" i="65"/>
  <c r="X128" i="65"/>
  <c r="Y128" i="65"/>
  <c r="Z128" i="65"/>
  <c r="R128" i="65"/>
  <c r="S128" i="65"/>
  <c r="T128" i="65"/>
  <c r="AD127" i="65"/>
  <c r="AE127" i="65"/>
  <c r="AF127" i="65"/>
  <c r="AB127" i="65"/>
  <c r="X127" i="65"/>
  <c r="Y127" i="65"/>
  <c r="Z127" i="65"/>
  <c r="R127" i="65"/>
  <c r="S127" i="65"/>
  <c r="T127" i="65"/>
  <c r="AB125" i="65"/>
  <c r="X125" i="65"/>
  <c r="Y125" i="65"/>
  <c r="Z125" i="65"/>
  <c r="R125" i="65"/>
  <c r="S125" i="65"/>
  <c r="T125" i="65"/>
  <c r="AD124" i="65"/>
  <c r="AE124" i="65"/>
  <c r="AF124" i="65"/>
  <c r="AB124" i="65"/>
  <c r="X124" i="65"/>
  <c r="Y124" i="65"/>
  <c r="Z124" i="65"/>
  <c r="R124" i="65"/>
  <c r="S124" i="65"/>
  <c r="T124" i="65"/>
  <c r="AB123" i="65"/>
  <c r="X123" i="65"/>
  <c r="Y123" i="65"/>
  <c r="Z123" i="65"/>
  <c r="R123" i="65"/>
  <c r="S123" i="65"/>
  <c r="T123" i="65"/>
  <c r="AB122" i="65"/>
  <c r="X122" i="65"/>
  <c r="Y122" i="65"/>
  <c r="Z122" i="65"/>
  <c r="R122" i="65"/>
  <c r="S122" i="65"/>
  <c r="T122" i="65"/>
  <c r="AB121" i="65"/>
  <c r="X121" i="65"/>
  <c r="Y121" i="65"/>
  <c r="Z121" i="65"/>
  <c r="R121" i="65"/>
  <c r="S121" i="65"/>
  <c r="T121" i="65"/>
  <c r="AB119" i="65"/>
  <c r="X119" i="65"/>
  <c r="Y119" i="65"/>
  <c r="Z119" i="65"/>
  <c r="R119" i="65"/>
  <c r="S119" i="65"/>
  <c r="T119" i="65"/>
  <c r="AD118" i="65"/>
  <c r="AE118" i="65"/>
  <c r="AF118" i="65"/>
  <c r="AB118" i="65"/>
  <c r="X118" i="65"/>
  <c r="Y118" i="65"/>
  <c r="Z118" i="65"/>
  <c r="R118" i="65"/>
  <c r="S118" i="65"/>
  <c r="T118" i="65"/>
  <c r="AB117" i="65"/>
  <c r="X117" i="65"/>
  <c r="Y117" i="65"/>
  <c r="Z117" i="65"/>
  <c r="R117" i="65"/>
  <c r="S117" i="65"/>
  <c r="T117" i="65"/>
  <c r="AB116" i="65"/>
  <c r="X116" i="65"/>
  <c r="Y116" i="65"/>
  <c r="Z116" i="65"/>
  <c r="R116" i="65"/>
  <c r="S116" i="65"/>
  <c r="T116" i="65"/>
  <c r="AB115" i="65"/>
  <c r="X115" i="65"/>
  <c r="Y115" i="65"/>
  <c r="Z115" i="65"/>
  <c r="R115" i="65"/>
  <c r="S115" i="65"/>
  <c r="T115" i="65"/>
  <c r="AB114" i="65"/>
  <c r="X114" i="65"/>
  <c r="Y114" i="65"/>
  <c r="Z114" i="65"/>
  <c r="R114" i="65"/>
  <c r="S114" i="65"/>
  <c r="T114" i="65"/>
  <c r="AB113" i="65"/>
  <c r="X113" i="65"/>
  <c r="Y113" i="65"/>
  <c r="Z113" i="65"/>
  <c r="R113" i="65"/>
  <c r="S113" i="65"/>
  <c r="T113" i="65"/>
  <c r="AB111" i="65"/>
  <c r="X111" i="65"/>
  <c r="Y111" i="65"/>
  <c r="Z111" i="65"/>
  <c r="R111" i="65"/>
  <c r="S111" i="65"/>
  <c r="T111" i="65"/>
  <c r="AB110" i="65"/>
  <c r="X110" i="65"/>
  <c r="Y110" i="65"/>
  <c r="Z110" i="65"/>
  <c r="R110" i="65"/>
  <c r="S110" i="65"/>
  <c r="T110" i="65"/>
  <c r="AB109" i="65"/>
  <c r="X109" i="65"/>
  <c r="Y109" i="65"/>
  <c r="Z109" i="65"/>
  <c r="R109" i="65"/>
  <c r="S109" i="65"/>
  <c r="T109" i="65"/>
  <c r="AB108" i="65"/>
  <c r="X108" i="65"/>
  <c r="Y108" i="65"/>
  <c r="Z108" i="65"/>
  <c r="R108" i="65"/>
  <c r="S108" i="65"/>
  <c r="T108" i="65"/>
  <c r="AB107" i="65"/>
  <c r="X107" i="65"/>
  <c r="Y107" i="65"/>
  <c r="Z107" i="65"/>
  <c r="R107" i="65"/>
  <c r="S107" i="65"/>
  <c r="T107" i="65"/>
  <c r="AB105" i="65"/>
  <c r="X105" i="65"/>
  <c r="Y105" i="65"/>
  <c r="Z105" i="65"/>
  <c r="R105" i="65"/>
  <c r="S105" i="65"/>
  <c r="T105" i="65"/>
  <c r="AB104" i="65"/>
  <c r="X104" i="65"/>
  <c r="Y104" i="65"/>
  <c r="Z104" i="65"/>
  <c r="R104" i="65"/>
  <c r="S104" i="65"/>
  <c r="T104" i="65"/>
  <c r="AB103" i="65"/>
  <c r="X103" i="65"/>
  <c r="Y103" i="65"/>
  <c r="Z103" i="65"/>
  <c r="R103" i="65"/>
  <c r="S103" i="65"/>
  <c r="T103" i="65"/>
  <c r="AB102" i="65"/>
  <c r="X102" i="65"/>
  <c r="Y102" i="65"/>
  <c r="Z102" i="65"/>
  <c r="R102" i="65"/>
  <c r="S102" i="65"/>
  <c r="T102" i="65"/>
  <c r="AB101" i="65"/>
  <c r="X101" i="65"/>
  <c r="Y101" i="65"/>
  <c r="Z101" i="65"/>
  <c r="R101" i="65"/>
  <c r="S101" i="65"/>
  <c r="T101" i="65"/>
  <c r="K98" i="65"/>
  <c r="K99" i="65"/>
  <c r="K100" i="65"/>
  <c r="K101" i="65"/>
  <c r="K102" i="65"/>
  <c r="K103" i="65"/>
  <c r="K104" i="65"/>
  <c r="K105" i="65"/>
  <c r="K106" i="65"/>
  <c r="K107" i="65"/>
  <c r="K108" i="65"/>
  <c r="K109" i="65"/>
  <c r="K110" i="65"/>
  <c r="K111" i="65"/>
  <c r="K112" i="65"/>
  <c r="K113" i="65"/>
  <c r="K114" i="65"/>
  <c r="K115" i="65"/>
  <c r="K116" i="65"/>
  <c r="K117" i="65"/>
  <c r="K118" i="65"/>
  <c r="K119" i="65"/>
  <c r="K120" i="65"/>
  <c r="K121" i="65"/>
  <c r="K122" i="65"/>
  <c r="K123" i="65"/>
  <c r="K124" i="65"/>
  <c r="K125" i="65"/>
  <c r="K126" i="65"/>
  <c r="K127" i="65"/>
  <c r="K128" i="65"/>
  <c r="K129" i="65"/>
  <c r="K130" i="65"/>
  <c r="K131" i="65"/>
  <c r="K132" i="65"/>
  <c r="K133" i="65"/>
  <c r="K134" i="65"/>
  <c r="K135" i="65"/>
  <c r="K136" i="65"/>
  <c r="K137" i="65"/>
  <c r="K138" i="65"/>
  <c r="K139" i="65"/>
  <c r="K140" i="65"/>
  <c r="K141" i="65"/>
  <c r="K142" i="65"/>
  <c r="K143" i="65"/>
  <c r="K144" i="65"/>
  <c r="K145" i="65"/>
  <c r="K146" i="65"/>
  <c r="K147" i="65"/>
  <c r="K148" i="65"/>
  <c r="K149" i="65"/>
  <c r="K150" i="65"/>
  <c r="K151" i="65"/>
  <c r="K152" i="65"/>
  <c r="K153" i="65"/>
  <c r="K154" i="65"/>
  <c r="K155" i="65"/>
  <c r="K156" i="65"/>
  <c r="K157" i="65"/>
  <c r="K158" i="65"/>
  <c r="K159" i="65"/>
  <c r="K160" i="65"/>
  <c r="K161" i="65"/>
  <c r="K162" i="65"/>
  <c r="K163" i="65"/>
  <c r="K164" i="65"/>
  <c r="K165" i="65"/>
  <c r="K166" i="65"/>
  <c r="K167" i="65"/>
  <c r="K168" i="65"/>
  <c r="K169" i="65"/>
  <c r="K170" i="65"/>
  <c r="K171" i="65"/>
  <c r="K172" i="65"/>
  <c r="K173" i="65"/>
  <c r="K174" i="65"/>
  <c r="K175" i="65"/>
  <c r="K176" i="65"/>
  <c r="K177" i="65"/>
  <c r="K178" i="65"/>
  <c r="K179" i="65"/>
  <c r="K180" i="65"/>
  <c r="K181" i="65"/>
  <c r="K182" i="65"/>
  <c r="K183" i="65"/>
  <c r="K184" i="65"/>
  <c r="K185" i="65"/>
  <c r="K186" i="65"/>
  <c r="AB95" i="65"/>
  <c r="X95" i="65"/>
  <c r="Y95" i="65"/>
  <c r="Z95" i="65"/>
  <c r="R95" i="65"/>
  <c r="S95" i="65"/>
  <c r="T95" i="65"/>
  <c r="AB94" i="65"/>
  <c r="X94" i="65"/>
  <c r="Y94" i="65"/>
  <c r="Z94" i="65"/>
  <c r="R94" i="65"/>
  <c r="S94" i="65"/>
  <c r="T94" i="65"/>
  <c r="AB93" i="65"/>
  <c r="X93" i="65"/>
  <c r="Y93" i="65"/>
  <c r="Z93" i="65"/>
  <c r="R93" i="65"/>
  <c r="S93" i="65"/>
  <c r="T93" i="65"/>
  <c r="AB92" i="65"/>
  <c r="X92" i="65"/>
  <c r="Y92" i="65"/>
  <c r="Z92" i="65"/>
  <c r="R92" i="65"/>
  <c r="S92" i="65"/>
  <c r="T92" i="65"/>
  <c r="AB91" i="65"/>
  <c r="X91" i="65"/>
  <c r="Y91" i="65"/>
  <c r="Z91" i="65"/>
  <c r="R91" i="65"/>
  <c r="S91" i="65"/>
  <c r="T91" i="65"/>
  <c r="AB89" i="65"/>
  <c r="X89" i="65"/>
  <c r="Y89" i="65"/>
  <c r="Z89" i="65"/>
  <c r="R89" i="65"/>
  <c r="S89" i="65"/>
  <c r="T89" i="65"/>
  <c r="AB88" i="65"/>
  <c r="X88" i="65"/>
  <c r="Y88" i="65"/>
  <c r="Z88" i="65"/>
  <c r="R88" i="65"/>
  <c r="S88" i="65"/>
  <c r="T88" i="65"/>
  <c r="AB87" i="65"/>
  <c r="X87" i="65"/>
  <c r="Y87" i="65"/>
  <c r="Z87" i="65"/>
  <c r="R87" i="65"/>
  <c r="S87" i="65"/>
  <c r="T87" i="65"/>
  <c r="AB86" i="65"/>
  <c r="X86" i="65"/>
  <c r="Y86" i="65"/>
  <c r="Z86" i="65"/>
  <c r="R86" i="65"/>
  <c r="S86" i="65"/>
  <c r="T86" i="65"/>
  <c r="AB85" i="65"/>
  <c r="X85" i="65"/>
  <c r="Y85" i="65"/>
  <c r="Z85" i="65"/>
  <c r="R85" i="65"/>
  <c r="S85" i="65"/>
  <c r="T85" i="65"/>
  <c r="AB83" i="65"/>
  <c r="X83" i="65"/>
  <c r="Y83" i="65"/>
  <c r="Z83" i="65"/>
  <c r="R83" i="65"/>
  <c r="S83" i="65"/>
  <c r="T83" i="65"/>
  <c r="AB82" i="65"/>
  <c r="X82" i="65"/>
  <c r="Y82" i="65"/>
  <c r="Z82" i="65"/>
  <c r="R82" i="65"/>
  <c r="S82" i="65"/>
  <c r="T82" i="65"/>
  <c r="AB81" i="65"/>
  <c r="X81" i="65"/>
  <c r="Y81" i="65"/>
  <c r="Z81" i="65"/>
  <c r="R81" i="65"/>
  <c r="S81" i="65"/>
  <c r="T81" i="65"/>
  <c r="AB80" i="65"/>
  <c r="X80" i="65"/>
  <c r="Y80" i="65"/>
  <c r="Z80" i="65"/>
  <c r="R80" i="65"/>
  <c r="S80" i="65"/>
  <c r="T80" i="65"/>
  <c r="AD79" i="65"/>
  <c r="AE79" i="65"/>
  <c r="AF79" i="65"/>
  <c r="AB79" i="65"/>
  <c r="X79" i="65"/>
  <c r="Y79" i="65"/>
  <c r="Z79" i="65"/>
  <c r="R79" i="65"/>
  <c r="S79" i="65"/>
  <c r="T79" i="65"/>
  <c r="AB77" i="65"/>
  <c r="X77" i="65"/>
  <c r="Y77" i="65"/>
  <c r="Z77" i="65"/>
  <c r="R77" i="65"/>
  <c r="S77" i="65"/>
  <c r="T77" i="65"/>
  <c r="AD76" i="65"/>
  <c r="AE76" i="65"/>
  <c r="AF76" i="65"/>
  <c r="AB76" i="65"/>
  <c r="X76" i="65"/>
  <c r="Y76" i="65"/>
  <c r="Z76" i="65"/>
  <c r="R76" i="65"/>
  <c r="S76" i="65"/>
  <c r="T76" i="65"/>
  <c r="AB75" i="65"/>
  <c r="X75" i="65"/>
  <c r="Y75" i="65"/>
  <c r="Z75" i="65"/>
  <c r="R75" i="65"/>
  <c r="S75" i="65"/>
  <c r="T75" i="65"/>
  <c r="AD74" i="65"/>
  <c r="AE74" i="65"/>
  <c r="AF74" i="65"/>
  <c r="AB74" i="65"/>
  <c r="X74" i="65"/>
  <c r="Y74" i="65"/>
  <c r="Z74" i="65"/>
  <c r="R74" i="65"/>
  <c r="S74" i="65"/>
  <c r="T74" i="65"/>
  <c r="AB73" i="65"/>
  <c r="X73" i="65"/>
  <c r="Y73" i="65"/>
  <c r="Z73" i="65"/>
  <c r="R73" i="65"/>
  <c r="S73" i="65"/>
  <c r="T73" i="65"/>
  <c r="AB71" i="65"/>
  <c r="X71" i="65"/>
  <c r="Y71" i="65"/>
  <c r="Z71" i="65"/>
  <c r="R71" i="65"/>
  <c r="S71" i="65"/>
  <c r="T71" i="65"/>
  <c r="AB70" i="65"/>
  <c r="X70" i="65"/>
  <c r="Y70" i="65"/>
  <c r="Z70" i="65"/>
  <c r="R70" i="65"/>
  <c r="S70" i="65"/>
  <c r="T70" i="65"/>
  <c r="AB69" i="65"/>
  <c r="X69" i="65"/>
  <c r="Y69" i="65"/>
  <c r="Z69" i="65"/>
  <c r="R69" i="65"/>
  <c r="S69" i="65"/>
  <c r="T69" i="65"/>
  <c r="AB68" i="65"/>
  <c r="X68" i="65"/>
  <c r="Y68" i="65"/>
  <c r="Z68" i="65"/>
  <c r="R68" i="65"/>
  <c r="S68" i="65"/>
  <c r="T68" i="65"/>
  <c r="AB67" i="65"/>
  <c r="X67" i="65"/>
  <c r="Y67" i="65"/>
  <c r="Z67" i="65"/>
  <c r="R67" i="65"/>
  <c r="S67" i="65"/>
  <c r="T67" i="65"/>
  <c r="AB65" i="65"/>
  <c r="X65" i="65"/>
  <c r="Y65" i="65"/>
  <c r="Z65" i="65"/>
  <c r="R65" i="65"/>
  <c r="S65" i="65"/>
  <c r="T65" i="65"/>
  <c r="AB64" i="65"/>
  <c r="X64" i="65"/>
  <c r="Y64" i="65"/>
  <c r="Z64" i="65"/>
  <c r="R64" i="65"/>
  <c r="S64" i="65"/>
  <c r="T64" i="65"/>
  <c r="AB63" i="65"/>
  <c r="X63" i="65"/>
  <c r="Y63" i="65"/>
  <c r="Z63" i="65"/>
  <c r="R63" i="65"/>
  <c r="S63" i="65"/>
  <c r="T63" i="65"/>
  <c r="AB62" i="65"/>
  <c r="X62" i="65"/>
  <c r="Y62" i="65"/>
  <c r="Z62" i="65"/>
  <c r="R62" i="65"/>
  <c r="S62" i="65"/>
  <c r="T62" i="65"/>
  <c r="AB61" i="65"/>
  <c r="X61" i="65"/>
  <c r="Y61" i="65"/>
  <c r="Z61" i="65"/>
  <c r="R61" i="65"/>
  <c r="S61" i="65"/>
  <c r="T61" i="65"/>
  <c r="AB59" i="65"/>
  <c r="X59" i="65"/>
  <c r="Y59" i="65"/>
  <c r="Z59" i="65"/>
  <c r="R59" i="65"/>
  <c r="S59" i="65"/>
  <c r="T59" i="65"/>
  <c r="AB58" i="65"/>
  <c r="X58" i="65"/>
  <c r="Y58" i="65"/>
  <c r="Z58" i="65"/>
  <c r="R58" i="65"/>
  <c r="S58" i="65"/>
  <c r="T58" i="65"/>
  <c r="AB57" i="65"/>
  <c r="X57" i="65"/>
  <c r="Y57" i="65"/>
  <c r="Z57" i="65"/>
  <c r="R57" i="65"/>
  <c r="S57" i="65"/>
  <c r="T57" i="65"/>
  <c r="AB56" i="65"/>
  <c r="X56" i="65"/>
  <c r="Y56" i="65"/>
  <c r="Z56" i="65"/>
  <c r="R56" i="65"/>
  <c r="S56" i="65"/>
  <c r="T56" i="65"/>
  <c r="AB55" i="65"/>
  <c r="X55" i="65"/>
  <c r="Y55" i="65"/>
  <c r="Z55" i="65"/>
  <c r="R55" i="65"/>
  <c r="S55" i="65"/>
  <c r="T55" i="65"/>
  <c r="AB53" i="65"/>
  <c r="X53" i="65"/>
  <c r="Y53" i="65"/>
  <c r="Z53" i="65"/>
  <c r="R53" i="65"/>
  <c r="S53" i="65"/>
  <c r="T53" i="65"/>
  <c r="AB52" i="65"/>
  <c r="X52" i="65"/>
  <c r="Y52" i="65"/>
  <c r="Z52" i="65"/>
  <c r="R52" i="65"/>
  <c r="S52" i="65"/>
  <c r="T52" i="65"/>
  <c r="AB51" i="65"/>
  <c r="X51" i="65"/>
  <c r="Y51" i="65"/>
  <c r="Z51" i="65"/>
  <c r="R51" i="65"/>
  <c r="S51" i="65"/>
  <c r="T51" i="65"/>
  <c r="AB50" i="65"/>
  <c r="X50" i="65"/>
  <c r="Y50" i="65"/>
  <c r="Z50" i="65"/>
  <c r="R50" i="65"/>
  <c r="S50" i="65"/>
  <c r="T50" i="65"/>
  <c r="AB49" i="65"/>
  <c r="X49" i="65"/>
  <c r="Y49" i="65"/>
  <c r="Z49" i="65"/>
  <c r="R49" i="65"/>
  <c r="S49" i="65"/>
  <c r="T49" i="65"/>
  <c r="AB47" i="65"/>
  <c r="X47" i="65"/>
  <c r="Y47" i="65"/>
  <c r="Z47" i="65"/>
  <c r="R47" i="65"/>
  <c r="S47" i="65"/>
  <c r="T47" i="65"/>
  <c r="AD46" i="65"/>
  <c r="AE46" i="65"/>
  <c r="AF46" i="65"/>
  <c r="AB46" i="65"/>
  <c r="X46" i="65"/>
  <c r="Y46" i="65"/>
  <c r="Z46" i="65"/>
  <c r="R46" i="65"/>
  <c r="S46" i="65"/>
  <c r="T46" i="65"/>
  <c r="AB45" i="65"/>
  <c r="X45" i="65"/>
  <c r="Y45" i="65"/>
  <c r="Z45" i="65"/>
  <c r="R45" i="65"/>
  <c r="S45" i="65"/>
  <c r="T45" i="65"/>
  <c r="AD44" i="65"/>
  <c r="AE44" i="65"/>
  <c r="AF44" i="65"/>
  <c r="AB44" i="65"/>
  <c r="X44" i="65"/>
  <c r="Y44" i="65"/>
  <c r="Z44" i="65"/>
  <c r="R44" i="65"/>
  <c r="S44" i="65"/>
  <c r="T44" i="65"/>
  <c r="AB43" i="65"/>
  <c r="X43" i="65"/>
  <c r="Y43" i="65"/>
  <c r="Z43" i="65"/>
  <c r="R43" i="65"/>
  <c r="S43" i="65"/>
  <c r="T43" i="65"/>
  <c r="AB40" i="65"/>
  <c r="X40" i="65"/>
  <c r="Y40" i="65"/>
  <c r="Z40" i="65"/>
  <c r="R40" i="65"/>
  <c r="S40" i="65"/>
  <c r="T40" i="65"/>
  <c r="AD39" i="65"/>
  <c r="AE39" i="65"/>
  <c r="AF39" i="65"/>
  <c r="AB39" i="65"/>
  <c r="X39" i="65"/>
  <c r="Y39" i="65"/>
  <c r="Z39" i="65"/>
  <c r="R39" i="65"/>
  <c r="S39" i="65"/>
  <c r="T39" i="65"/>
  <c r="AB38" i="65"/>
  <c r="X38" i="65"/>
  <c r="Y38" i="65"/>
  <c r="Z38" i="65"/>
  <c r="R38" i="65"/>
  <c r="S38" i="65"/>
  <c r="T38" i="65"/>
  <c r="AD37" i="65"/>
  <c r="AE37" i="65"/>
  <c r="AF37" i="65"/>
  <c r="AB37" i="65"/>
  <c r="X37" i="65"/>
  <c r="Y37" i="65"/>
  <c r="Z37" i="65"/>
  <c r="R37" i="65"/>
  <c r="S37" i="65"/>
  <c r="T37" i="65"/>
  <c r="AB36" i="65"/>
  <c r="X36" i="65"/>
  <c r="Y36" i="65"/>
  <c r="Z36" i="65"/>
  <c r="R36" i="65"/>
  <c r="S36" i="65"/>
  <c r="T36" i="65"/>
  <c r="AB34" i="65"/>
  <c r="X34" i="65"/>
  <c r="Y34" i="65"/>
  <c r="Z34" i="65"/>
  <c r="R34" i="65"/>
  <c r="S34" i="65"/>
  <c r="T34" i="65"/>
  <c r="AB33" i="65"/>
  <c r="X33" i="65"/>
  <c r="Y33" i="65"/>
  <c r="Z33" i="65"/>
  <c r="R33" i="65"/>
  <c r="S33" i="65"/>
  <c r="T33" i="65"/>
  <c r="AB32" i="65"/>
  <c r="X32" i="65"/>
  <c r="Y32" i="65"/>
  <c r="Z32" i="65"/>
  <c r="R32" i="65"/>
  <c r="S32" i="65"/>
  <c r="T32" i="65"/>
  <c r="AD31" i="65"/>
  <c r="AE31" i="65"/>
  <c r="AF31" i="65"/>
  <c r="AB31" i="65"/>
  <c r="X31" i="65"/>
  <c r="Y31" i="65"/>
  <c r="Z31" i="65"/>
  <c r="R31" i="65"/>
  <c r="S31" i="65"/>
  <c r="T31" i="65"/>
  <c r="AB30" i="65"/>
  <c r="X30" i="65"/>
  <c r="Y30" i="65"/>
  <c r="Z30" i="65"/>
  <c r="R30" i="65"/>
  <c r="S30" i="65"/>
  <c r="T30" i="65"/>
  <c r="AB28" i="65"/>
  <c r="X28" i="65"/>
  <c r="Y28" i="65"/>
  <c r="Z28" i="65"/>
  <c r="R28" i="65"/>
  <c r="S28" i="65"/>
  <c r="T28" i="65"/>
  <c r="AB27" i="65"/>
  <c r="X27" i="65"/>
  <c r="Y27" i="65"/>
  <c r="Z27" i="65"/>
  <c r="R27" i="65"/>
  <c r="S27" i="65"/>
  <c r="T27" i="65"/>
  <c r="AD26" i="65"/>
  <c r="AE26" i="65"/>
  <c r="AF26" i="65"/>
  <c r="AB26" i="65"/>
  <c r="X26" i="65"/>
  <c r="Y26" i="65"/>
  <c r="Z26" i="65"/>
  <c r="R26" i="65"/>
  <c r="S26" i="65"/>
  <c r="T26" i="65"/>
  <c r="AB25" i="65"/>
  <c r="X25" i="65"/>
  <c r="Y25" i="65"/>
  <c r="Z25" i="65"/>
  <c r="R25" i="65"/>
  <c r="S25" i="65"/>
  <c r="T25" i="65"/>
  <c r="AD24" i="65"/>
  <c r="AE24" i="65"/>
  <c r="AF24" i="65"/>
  <c r="AB24" i="65"/>
  <c r="X24" i="65"/>
  <c r="Y24" i="65"/>
  <c r="Z24" i="65"/>
  <c r="R24" i="65"/>
  <c r="S24" i="65"/>
  <c r="T24" i="65"/>
  <c r="AB23" i="65"/>
  <c r="X23" i="65"/>
  <c r="Y23" i="65"/>
  <c r="Z23" i="65"/>
  <c r="R23" i="65"/>
  <c r="S23" i="65"/>
  <c r="T23" i="65"/>
  <c r="AB22" i="65"/>
  <c r="X22" i="65"/>
  <c r="Y22" i="65"/>
  <c r="Z22" i="65"/>
  <c r="R22" i="65"/>
  <c r="S22" i="65"/>
  <c r="T22" i="65"/>
  <c r="AB20" i="65"/>
  <c r="X20" i="65"/>
  <c r="Y20" i="65"/>
  <c r="Z20" i="65"/>
  <c r="R20" i="65"/>
  <c r="S20" i="65"/>
  <c r="T20" i="65"/>
  <c r="AB19" i="65"/>
  <c r="X19" i="65"/>
  <c r="Y19" i="65"/>
  <c r="Z19" i="65"/>
  <c r="R19" i="65"/>
  <c r="S19" i="65"/>
  <c r="T19" i="65"/>
  <c r="AB18" i="65"/>
  <c r="X18" i="65"/>
  <c r="Y18" i="65"/>
  <c r="Z18" i="65"/>
  <c r="R18" i="65"/>
  <c r="S18" i="65"/>
  <c r="T18" i="65"/>
  <c r="AB17" i="65"/>
  <c r="X17" i="65"/>
  <c r="Y17" i="65"/>
  <c r="Z17" i="65"/>
  <c r="R17" i="65"/>
  <c r="S17" i="65"/>
  <c r="T17" i="65"/>
  <c r="AB16" i="65"/>
  <c r="X16" i="65"/>
  <c r="Y16" i="65"/>
  <c r="Z16" i="65"/>
  <c r="R16" i="65"/>
  <c r="S16" i="65"/>
  <c r="T16" i="65"/>
  <c r="AB14" i="65"/>
  <c r="X14" i="65"/>
  <c r="R14" i="65"/>
  <c r="AD13" i="65"/>
  <c r="AB13" i="65"/>
  <c r="X13" i="65"/>
  <c r="Y13" i="65"/>
  <c r="R13" i="65"/>
  <c r="S13" i="65"/>
  <c r="AB12" i="65"/>
  <c r="X12" i="65"/>
  <c r="R12" i="65"/>
  <c r="AB11" i="65"/>
  <c r="X11" i="65"/>
  <c r="Y11" i="65"/>
  <c r="Z11" i="65"/>
  <c r="R11" i="65"/>
  <c r="AB10" i="65"/>
  <c r="X10" i="65"/>
  <c r="R10" i="65"/>
  <c r="K7" i="65"/>
  <c r="K8" i="65"/>
  <c r="K9" i="65"/>
  <c r="K10" i="65"/>
  <c r="K11" i="65"/>
  <c r="K12" i="65"/>
  <c r="K13" i="65"/>
  <c r="K14" i="65"/>
  <c r="K15" i="65"/>
  <c r="K16" i="65"/>
  <c r="K17" i="65"/>
  <c r="K18" i="65"/>
  <c r="K19" i="65"/>
  <c r="K20" i="65"/>
  <c r="K21" i="65"/>
  <c r="K22" i="65"/>
  <c r="K23" i="65"/>
  <c r="K24" i="65"/>
  <c r="K25" i="65"/>
  <c r="K26" i="65"/>
  <c r="K27" i="65"/>
  <c r="K28" i="65"/>
  <c r="K29" i="65"/>
  <c r="K30" i="65"/>
  <c r="K31" i="65"/>
  <c r="K32" i="65"/>
  <c r="K33" i="65"/>
  <c r="K34" i="65"/>
  <c r="K35" i="65"/>
  <c r="K36" i="65"/>
  <c r="K37" i="65"/>
  <c r="K38" i="65"/>
  <c r="K39" i="65"/>
  <c r="K40" i="65"/>
  <c r="K41" i="65"/>
  <c r="K42" i="65"/>
  <c r="K43" i="65"/>
  <c r="K44" i="65"/>
  <c r="K45" i="65"/>
  <c r="K46" i="65"/>
  <c r="K47" i="65"/>
  <c r="K48" i="65"/>
  <c r="K49" i="65"/>
  <c r="K50" i="65"/>
  <c r="K51" i="65"/>
  <c r="K52" i="65"/>
  <c r="K53" i="65"/>
  <c r="K54" i="65"/>
  <c r="K55" i="65"/>
  <c r="K56" i="65"/>
  <c r="K57" i="65"/>
  <c r="K58" i="65"/>
  <c r="K59" i="65"/>
  <c r="K60" i="65"/>
  <c r="K61" i="65"/>
  <c r="K62" i="65"/>
  <c r="K63" i="65"/>
  <c r="K64" i="65"/>
  <c r="K65" i="65"/>
  <c r="K66" i="65"/>
  <c r="K67" i="65"/>
  <c r="K68" i="65"/>
  <c r="K69" i="65"/>
  <c r="K70" i="65"/>
  <c r="K71" i="65"/>
  <c r="K72" i="65"/>
  <c r="K73" i="65"/>
  <c r="K74" i="65"/>
  <c r="K75" i="65"/>
  <c r="K76" i="65"/>
  <c r="K77" i="65"/>
  <c r="K78" i="65"/>
  <c r="K79" i="65"/>
  <c r="K80" i="65"/>
  <c r="K81" i="65"/>
  <c r="K82" i="65"/>
  <c r="K83" i="65"/>
  <c r="K84" i="65"/>
  <c r="K85" i="65"/>
  <c r="K86" i="65"/>
  <c r="K87" i="65"/>
  <c r="K88" i="65"/>
  <c r="K89" i="65"/>
  <c r="K90" i="65"/>
  <c r="K91" i="65"/>
  <c r="K92" i="65"/>
  <c r="K93" i="65"/>
  <c r="K94" i="65"/>
  <c r="K95" i="65"/>
  <c r="AD239" i="65"/>
  <c r="AE239" i="65"/>
  <c r="AF239" i="65"/>
  <c r="AD30" i="65"/>
  <c r="AE30" i="65"/>
  <c r="AF30" i="65"/>
  <c r="AD52" i="65"/>
  <c r="AE52" i="65"/>
  <c r="AF52" i="65"/>
  <c r="AD134" i="65"/>
  <c r="AE134" i="65"/>
  <c r="AF134" i="65"/>
  <c r="AD68" i="65"/>
  <c r="AE68" i="65"/>
  <c r="AF68" i="65"/>
  <c r="AD70" i="65"/>
  <c r="AE70" i="65"/>
  <c r="AF70" i="65"/>
  <c r="AD82" i="65"/>
  <c r="AE82" i="65"/>
  <c r="AF82" i="65"/>
  <c r="AD123" i="65"/>
  <c r="AE123" i="65"/>
  <c r="AF123" i="65"/>
  <c r="AD128" i="65"/>
  <c r="AE128" i="65"/>
  <c r="AF128" i="65"/>
  <c r="AD234" i="65"/>
  <c r="AE234" i="65"/>
  <c r="AF234" i="65"/>
  <c r="AD242" i="65"/>
  <c r="AE242" i="65"/>
  <c r="AF242" i="65"/>
  <c r="AD50" i="65"/>
  <c r="AE50" i="65"/>
  <c r="AF50" i="65"/>
  <c r="AD59" i="65"/>
  <c r="AE59" i="65"/>
  <c r="AF59" i="65"/>
  <c r="AD103" i="65"/>
  <c r="AE103" i="65"/>
  <c r="AF103" i="65"/>
  <c r="AD108" i="65"/>
  <c r="AE108" i="65"/>
  <c r="AF108" i="65"/>
  <c r="AD91" i="65"/>
  <c r="AE91" i="65"/>
  <c r="AF91" i="65"/>
  <c r="AD95" i="65"/>
  <c r="AE95" i="65"/>
  <c r="AF95" i="65"/>
  <c r="AD131" i="65"/>
  <c r="AE131" i="65"/>
  <c r="AF131" i="65"/>
  <c r="AD144" i="65"/>
  <c r="AE144" i="65"/>
  <c r="AF144" i="65"/>
  <c r="AD11" i="65"/>
  <c r="AE11" i="65"/>
  <c r="AD104" i="65"/>
  <c r="AE104" i="65"/>
  <c r="AF104" i="65"/>
  <c r="AD109" i="65"/>
  <c r="AE109" i="65"/>
  <c r="AF109" i="65"/>
  <c r="AD114" i="65"/>
  <c r="AE114" i="65"/>
  <c r="AF114" i="65"/>
  <c r="AD28" i="65"/>
  <c r="AE28" i="65"/>
  <c r="AF28" i="65"/>
  <c r="AD61" i="65"/>
  <c r="AE61" i="65"/>
  <c r="AF61" i="65"/>
  <c r="AD88" i="65"/>
  <c r="AE88" i="65"/>
  <c r="AF88" i="65"/>
  <c r="AD93" i="65"/>
  <c r="AE93" i="65"/>
  <c r="AF93" i="65"/>
  <c r="AD147" i="65"/>
  <c r="AE147" i="65"/>
  <c r="AF147" i="65"/>
  <c r="AD178" i="65"/>
  <c r="AE178" i="65"/>
  <c r="AF178" i="65"/>
  <c r="AD183" i="65"/>
  <c r="AE183" i="65"/>
  <c r="AF183" i="65"/>
  <c r="AD194" i="65"/>
  <c r="AE194" i="65"/>
  <c r="AD197" i="65"/>
  <c r="AE197" i="65"/>
  <c r="AF197" i="65"/>
  <c r="AD225" i="65"/>
  <c r="AE225" i="65"/>
  <c r="AF225" i="65"/>
  <c r="AD16" i="65"/>
  <c r="AE16" i="65"/>
  <c r="AF16" i="65"/>
  <c r="AD18" i="65"/>
  <c r="AE18" i="65"/>
  <c r="AF18" i="65"/>
  <c r="AD20" i="65"/>
  <c r="AE20" i="65"/>
  <c r="AF20" i="65"/>
  <c r="AD36" i="65"/>
  <c r="AE36" i="65"/>
  <c r="AF36" i="65"/>
  <c r="AD55" i="65"/>
  <c r="AE55" i="65"/>
  <c r="AF55" i="65"/>
  <c r="AD57" i="65"/>
  <c r="AE57" i="65"/>
  <c r="AF57" i="65"/>
  <c r="AD63" i="65"/>
  <c r="AE63" i="65"/>
  <c r="AF63" i="65"/>
  <c r="AD65" i="65"/>
  <c r="AE65" i="65"/>
  <c r="AF65" i="65"/>
  <c r="AD130" i="65"/>
  <c r="AE130" i="65"/>
  <c r="AF130" i="65"/>
  <c r="AD152" i="65"/>
  <c r="AE152" i="65"/>
  <c r="AF152" i="65"/>
  <c r="AD227" i="65"/>
  <c r="AE227" i="65"/>
  <c r="AF227" i="65"/>
  <c r="AD154" i="65"/>
  <c r="AE154" i="65"/>
  <c r="AF154" i="65"/>
  <c r="AD162" i="65"/>
  <c r="AE162" i="65"/>
  <c r="AF162" i="65"/>
  <c r="AD215" i="65"/>
  <c r="AE215" i="65"/>
  <c r="AF215" i="65"/>
  <c r="AD230" i="65"/>
  <c r="AE230" i="65"/>
  <c r="AF230" i="65"/>
  <c r="AD233" i="65"/>
  <c r="AE233" i="65"/>
  <c r="AF233" i="65"/>
  <c r="AD238" i="65"/>
  <c r="AE238" i="65"/>
  <c r="AF238" i="65"/>
  <c r="AD53" i="65"/>
  <c r="AE53" i="65"/>
  <c r="AF53" i="65"/>
  <c r="AD58" i="65"/>
  <c r="AE58" i="65"/>
  <c r="AF58" i="65"/>
  <c r="AD87" i="65"/>
  <c r="AE87" i="65"/>
  <c r="AF87" i="65"/>
  <c r="AD92" i="65"/>
  <c r="AE92" i="65"/>
  <c r="AF92" i="65"/>
  <c r="AD94" i="65"/>
  <c r="AE94" i="65"/>
  <c r="AF94" i="65"/>
  <c r="AD102" i="65"/>
  <c r="AE102" i="65"/>
  <c r="AF102" i="65"/>
  <c r="AD143" i="65"/>
  <c r="AE143" i="65"/>
  <c r="AF143" i="65"/>
  <c r="AD146" i="65"/>
  <c r="AE146" i="65"/>
  <c r="AF146" i="65"/>
  <c r="AD148" i="65"/>
  <c r="AE148" i="65"/>
  <c r="AF148" i="65"/>
  <c r="AD156" i="65"/>
  <c r="AE156" i="65"/>
  <c r="AF156" i="65"/>
  <c r="AD184" i="65"/>
  <c r="AE184" i="65"/>
  <c r="AF184" i="65"/>
  <c r="AD195" i="65"/>
  <c r="AD19" i="65"/>
  <c r="AE19" i="65"/>
  <c r="AF19" i="65"/>
  <c r="AD22" i="65"/>
  <c r="AE22" i="65"/>
  <c r="AF22" i="65"/>
  <c r="AD32" i="65"/>
  <c r="AE32" i="65"/>
  <c r="AF32" i="65"/>
  <c r="AD69" i="65"/>
  <c r="AE69" i="65"/>
  <c r="AF69" i="65"/>
  <c r="AD71" i="65"/>
  <c r="AE71" i="65"/>
  <c r="AF71" i="65"/>
  <c r="AD129" i="65"/>
  <c r="AE129" i="65"/>
  <c r="AF129" i="65"/>
  <c r="AD150" i="65"/>
  <c r="AE150" i="65"/>
  <c r="AF150" i="65"/>
  <c r="AD198" i="65"/>
  <c r="AE198" i="65"/>
  <c r="AF198" i="65"/>
  <c r="AD201" i="65"/>
  <c r="AE201" i="65"/>
  <c r="AF201" i="65"/>
  <c r="AD86" i="65"/>
  <c r="AE86" i="65"/>
  <c r="AF86" i="65"/>
  <c r="AD101" i="65"/>
  <c r="AE101" i="65"/>
  <c r="AF101" i="65"/>
  <c r="AD116" i="65"/>
  <c r="AE116" i="65"/>
  <c r="AF116" i="65"/>
  <c r="AD135" i="65"/>
  <c r="AE135" i="65"/>
  <c r="AF135" i="65"/>
  <c r="AD137" i="65"/>
  <c r="AE137" i="65"/>
  <c r="AF137" i="65"/>
  <c r="AD159" i="65"/>
  <c r="AE159" i="65"/>
  <c r="AF159" i="65"/>
  <c r="AD161" i="65"/>
  <c r="AE161" i="65"/>
  <c r="AF161" i="65"/>
  <c r="AD164" i="65"/>
  <c r="AE164" i="65"/>
  <c r="AF164" i="65"/>
  <c r="AD176" i="65"/>
  <c r="AE176" i="65"/>
  <c r="AF176" i="65"/>
  <c r="AD206" i="65"/>
  <c r="AE206" i="65"/>
  <c r="AF206" i="65"/>
  <c r="AD56" i="65"/>
  <c r="AE56" i="65"/>
  <c r="AF56" i="65"/>
  <c r="AD117" i="65"/>
  <c r="AE117" i="65"/>
  <c r="AF117" i="65"/>
  <c r="AD125" i="65"/>
  <c r="AE125" i="65"/>
  <c r="AF125" i="65"/>
  <c r="AD142" i="65"/>
  <c r="AE142" i="65"/>
  <c r="AF142" i="65"/>
  <c r="AD174" i="65"/>
  <c r="AE174" i="65"/>
  <c r="AF174" i="65"/>
  <c r="AD23" i="65"/>
  <c r="AE23" i="65"/>
  <c r="AF23" i="65"/>
  <c r="AD34" i="65"/>
  <c r="AE34" i="65"/>
  <c r="AF34" i="65"/>
  <c r="AD149" i="65"/>
  <c r="AE149" i="65"/>
  <c r="AF149" i="65"/>
  <c r="AD182" i="65"/>
  <c r="AE182" i="65"/>
  <c r="AF182" i="65"/>
  <c r="AD229" i="65"/>
  <c r="AE229" i="65"/>
  <c r="AF229" i="65"/>
  <c r="AD241" i="65"/>
  <c r="AE241" i="65"/>
  <c r="AF241" i="65"/>
  <c r="AE243" i="65"/>
  <c r="AF243" i="65"/>
  <c r="AD83" i="65"/>
  <c r="AE83" i="65"/>
  <c r="AF83" i="65"/>
  <c r="AD122" i="65"/>
  <c r="AE122" i="65"/>
  <c r="AF122" i="65"/>
  <c r="AD158" i="65"/>
  <c r="AE158" i="65"/>
  <c r="AF158" i="65"/>
  <c r="AD168" i="65"/>
  <c r="AE168" i="65"/>
  <c r="AF168" i="65"/>
  <c r="AD211" i="65"/>
  <c r="AE211" i="65"/>
  <c r="AF211" i="65"/>
  <c r="AD12" i="65"/>
  <c r="AD47" i="65"/>
  <c r="AE47" i="65"/>
  <c r="AF47" i="65"/>
  <c r="AD113" i="65"/>
  <c r="AE113" i="65"/>
  <c r="AF113" i="65"/>
  <c r="AD217" i="65"/>
  <c r="AE217" i="65"/>
  <c r="AF217" i="65"/>
  <c r="AD237" i="65"/>
  <c r="AE237" i="65"/>
  <c r="AF237" i="65"/>
  <c r="AD17" i="65"/>
  <c r="AE17" i="65"/>
  <c r="AF17" i="65"/>
  <c r="AD33" i="65"/>
  <c r="AE33" i="65"/>
  <c r="AF33" i="65"/>
  <c r="AD80" i="65"/>
  <c r="AE80" i="65"/>
  <c r="AF80" i="65"/>
  <c r="AD165" i="65"/>
  <c r="AE165" i="65"/>
  <c r="AF165" i="65"/>
  <c r="AD221" i="65"/>
  <c r="AE221" i="65"/>
  <c r="AF221" i="65"/>
  <c r="R246" i="65"/>
  <c r="C8" i="54"/>
  <c r="AE195" i="65"/>
  <c r="AD45" i="65"/>
  <c r="AE45" i="65"/>
  <c r="AF45" i="65"/>
  <c r="L63" i="66"/>
  <c r="AD43" i="65"/>
  <c r="AE43" i="65"/>
  <c r="AF43" i="65"/>
  <c r="AD51" i="65"/>
  <c r="AE51" i="65"/>
  <c r="AF51" i="65"/>
  <c r="AD105" i="65"/>
  <c r="AE105" i="65"/>
  <c r="AF105" i="65"/>
  <c r="AD111" i="65"/>
  <c r="AE111" i="65"/>
  <c r="AF111" i="65"/>
  <c r="AD140" i="65"/>
  <c r="AE140" i="65"/>
  <c r="AF140" i="65"/>
  <c r="AD193" i="65"/>
  <c r="AD205" i="65"/>
  <c r="AE205" i="65"/>
  <c r="AF205" i="65"/>
  <c r="AD209" i="65"/>
  <c r="AE209" i="65"/>
  <c r="AF209" i="65"/>
  <c r="AD10" i="65"/>
  <c r="AD27" i="65"/>
  <c r="AE27" i="65"/>
  <c r="AF27" i="65"/>
  <c r="AD38" i="65"/>
  <c r="AE38" i="65"/>
  <c r="AF38" i="65"/>
  <c r="AD67" i="65"/>
  <c r="AE67" i="65"/>
  <c r="AF67" i="65"/>
  <c r="AD73" i="65"/>
  <c r="AE73" i="65"/>
  <c r="AF73" i="65"/>
  <c r="AD81" i="65"/>
  <c r="AE81" i="65"/>
  <c r="AF81" i="65"/>
  <c r="AD85" i="65"/>
  <c r="AE85" i="65"/>
  <c r="AF85" i="65"/>
  <c r="AD89" i="65"/>
  <c r="AE89" i="65"/>
  <c r="AF89" i="65"/>
  <c r="AD136" i="65"/>
  <c r="AE136" i="65"/>
  <c r="AF136" i="65"/>
  <c r="AD160" i="65"/>
  <c r="AE160" i="65"/>
  <c r="AF160" i="65"/>
  <c r="AD170" i="65"/>
  <c r="AE170" i="65"/>
  <c r="AF170" i="65"/>
  <c r="AD180" i="65"/>
  <c r="AE180" i="65"/>
  <c r="AF180" i="65"/>
  <c r="AD186" i="65"/>
  <c r="AE186" i="65"/>
  <c r="AF186" i="65"/>
  <c r="AD203" i="65"/>
  <c r="AE203" i="65"/>
  <c r="AF203" i="65"/>
  <c r="AD207" i="65"/>
  <c r="AE207" i="65"/>
  <c r="AF207" i="65"/>
  <c r="AD218" i="65"/>
  <c r="AE218" i="65"/>
  <c r="AF218" i="65"/>
  <c r="AD223" i="65"/>
  <c r="AE223" i="65"/>
  <c r="AF223" i="65"/>
  <c r="AD231" i="65"/>
  <c r="AE231" i="65"/>
  <c r="AF231" i="65"/>
  <c r="AD235" i="65"/>
  <c r="AE235" i="65"/>
  <c r="AF235" i="65"/>
  <c r="AD115" i="65"/>
  <c r="AE115" i="65"/>
  <c r="AF115" i="65"/>
  <c r="AD121" i="65"/>
  <c r="AE121" i="65"/>
  <c r="AF121" i="65"/>
  <c r="AD213" i="65"/>
  <c r="AE213" i="65"/>
  <c r="AF213" i="65"/>
  <c r="AD14" i="65"/>
  <c r="AD25" i="65"/>
  <c r="AE25" i="65"/>
  <c r="AF25" i="65"/>
  <c r="AD40" i="65"/>
  <c r="AE40" i="65"/>
  <c r="AF40" i="65"/>
  <c r="AD62" i="65"/>
  <c r="AE62" i="65"/>
  <c r="AF62" i="65"/>
  <c r="AD64" i="65"/>
  <c r="AE64" i="65"/>
  <c r="AF64" i="65"/>
  <c r="AD107" i="65"/>
  <c r="AE107" i="65"/>
  <c r="AF107" i="65"/>
  <c r="AD110" i="65"/>
  <c r="AE110" i="65"/>
  <c r="AF110" i="65"/>
  <c r="AD119" i="65"/>
  <c r="AE119" i="65"/>
  <c r="AF119" i="65"/>
  <c r="AD138" i="65"/>
  <c r="AE138" i="65"/>
  <c r="AF138" i="65"/>
  <c r="AD155" i="65"/>
  <c r="AE155" i="65"/>
  <c r="AF155" i="65"/>
  <c r="AD172" i="65"/>
  <c r="AE172" i="65"/>
  <c r="AF172" i="65"/>
  <c r="AD179" i="65"/>
  <c r="AE179" i="65"/>
  <c r="AF179" i="65"/>
  <c r="K86" i="66"/>
  <c r="O514" i="66"/>
  <c r="H12" i="63"/>
  <c r="N508" i="66"/>
  <c r="N514" i="66"/>
  <c r="K12" i="63"/>
  <c r="N371" i="66"/>
  <c r="O508" i="66"/>
  <c r="N70" i="66"/>
  <c r="N336" i="66"/>
  <c r="C117" i="66"/>
  <c r="C33" i="66"/>
  <c r="C28" i="66"/>
  <c r="C86" i="66"/>
  <c r="C76" i="66"/>
  <c r="C67" i="66"/>
  <c r="K55" i="66"/>
  <c r="L55" i="66"/>
  <c r="L322" i="66"/>
  <c r="C61" i="66"/>
  <c r="C122" i="66"/>
  <c r="C107" i="66"/>
  <c r="K267" i="66"/>
  <c r="N288" i="66"/>
  <c r="G18" i="61"/>
  <c r="C112" i="66"/>
  <c r="C144" i="66"/>
  <c r="K255" i="66"/>
  <c r="L255" i="66"/>
  <c r="K482" i="66"/>
  <c r="L482" i="66"/>
  <c r="C91" i="66"/>
  <c r="K249" i="66"/>
  <c r="L249" i="66"/>
  <c r="C140" i="66"/>
  <c r="K49" i="66"/>
  <c r="L49" i="66"/>
  <c r="N74" i="66"/>
  <c r="N294" i="66"/>
  <c r="J12" i="61"/>
  <c r="N110" i="66"/>
  <c r="K328" i="66"/>
  <c r="L328" i="66"/>
  <c r="K273" i="66"/>
  <c r="N295" i="66"/>
  <c r="J14" i="61"/>
  <c r="N118" i="66"/>
  <c r="K261" i="66"/>
  <c r="L261" i="66"/>
  <c r="K80" i="66"/>
  <c r="N290" i="66"/>
  <c r="G22" i="61"/>
  <c r="N102" i="66"/>
  <c r="O299" i="66"/>
  <c r="N123" i="66"/>
  <c r="C49" i="66"/>
  <c r="N289" i="66"/>
  <c r="G20" i="61"/>
  <c r="C23" i="66"/>
  <c r="C16" i="66"/>
  <c r="K43" i="66"/>
  <c r="L43" i="66"/>
  <c r="N94" i="66"/>
  <c r="N296" i="66"/>
  <c r="J18" i="61"/>
  <c r="C55" i="66"/>
  <c r="K476" i="66"/>
  <c r="L476" i="66"/>
  <c r="L64" i="66"/>
  <c r="C81" i="66"/>
  <c r="N298" i="66"/>
  <c r="J22" i="61"/>
  <c r="N287" i="66"/>
  <c r="G14" i="61"/>
  <c r="N297" i="66"/>
  <c r="J20" i="61"/>
  <c r="N286" i="66"/>
  <c r="G12" i="61"/>
  <c r="C43" i="66"/>
  <c r="L65" i="66"/>
  <c r="R247" i="65"/>
  <c r="C9" i="54"/>
  <c r="S12" i="65"/>
  <c r="S248" i="65"/>
  <c r="T13" i="65"/>
  <c r="T248" i="65"/>
  <c r="X249" i="65"/>
  <c r="D19" i="54"/>
  <c r="Y14" i="65"/>
  <c r="R249" i="65"/>
  <c r="C11" i="54"/>
  <c r="S14" i="65"/>
  <c r="X246" i="65"/>
  <c r="D16" i="54"/>
  <c r="AD75" i="65"/>
  <c r="AE75" i="65"/>
  <c r="AF75" i="65"/>
  <c r="R245" i="65"/>
  <c r="C7" i="54"/>
  <c r="R251" i="65"/>
  <c r="S10" i="65"/>
  <c r="Y246" i="65"/>
  <c r="X247" i="65"/>
  <c r="D17" i="54"/>
  <c r="Y12" i="65"/>
  <c r="AD49" i="65"/>
  <c r="AE49" i="65"/>
  <c r="AF49" i="65"/>
  <c r="AD77" i="65"/>
  <c r="AE77" i="65"/>
  <c r="AF77" i="65"/>
  <c r="Z246" i="65"/>
  <c r="AE12" i="65"/>
  <c r="Y248" i="65"/>
  <c r="Z13" i="65"/>
  <c r="Z248" i="65"/>
  <c r="AF11" i="65"/>
  <c r="X251" i="65"/>
  <c r="X245" i="65"/>
  <c r="Y10" i="65"/>
  <c r="S11" i="65"/>
  <c r="AE13" i="65"/>
  <c r="R248" i="65"/>
  <c r="C10" i="54"/>
  <c r="S254" i="65"/>
  <c r="T194" i="65"/>
  <c r="T254" i="65"/>
  <c r="Y195" i="65"/>
  <c r="X255" i="65"/>
  <c r="D15" i="55"/>
  <c r="X248" i="65"/>
  <c r="D18" i="54"/>
  <c r="Z194" i="65"/>
  <c r="Z254" i="65"/>
  <c r="Y254" i="65"/>
  <c r="R253" i="65"/>
  <c r="S193" i="65"/>
  <c r="X254" i="65"/>
  <c r="D14" i="55"/>
  <c r="X253" i="65"/>
  <c r="AF195" i="65"/>
  <c r="AE193" i="65"/>
  <c r="R255" i="65"/>
  <c r="C9" i="55"/>
  <c r="R257" i="65"/>
  <c r="R254" i="65"/>
  <c r="C8" i="55"/>
  <c r="S255" i="65"/>
  <c r="AD199" i="65"/>
  <c r="AE199" i="65"/>
  <c r="AF199" i="65"/>
  <c r="X257" i="65"/>
  <c r="Y193" i="65"/>
  <c r="T195" i="65"/>
  <c r="T255" i="65"/>
  <c r="AE246" i="65"/>
  <c r="AD246" i="65"/>
  <c r="F16" i="54"/>
  <c r="AF246" i="65"/>
  <c r="AD249" i="65"/>
  <c r="F19" i="54"/>
  <c r="AD248" i="65"/>
  <c r="F18" i="54"/>
  <c r="AD247" i="65"/>
  <c r="F17" i="54"/>
  <c r="R256" i="65"/>
  <c r="C10" i="55"/>
  <c r="C7" i="55"/>
  <c r="AD253" i="65"/>
  <c r="AE10" i="65"/>
  <c r="AD245" i="65"/>
  <c r="AE14" i="65"/>
  <c r="AD255" i="65"/>
  <c r="F15" i="55"/>
  <c r="X250" i="65"/>
  <c r="D20" i="54"/>
  <c r="D15" i="54"/>
  <c r="AD257" i="65"/>
  <c r="AF255" i="65"/>
  <c r="AD251" i="65"/>
  <c r="AE255" i="65"/>
  <c r="X256" i="65"/>
  <c r="D16" i="55"/>
  <c r="D13" i="55"/>
  <c r="AD254" i="65"/>
  <c r="F14" i="55"/>
  <c r="C146" i="66"/>
  <c r="E120" i="66"/>
  <c r="F120" i="66"/>
  <c r="N299" i="66"/>
  <c r="O291" i="66"/>
  <c r="L271" i="66"/>
  <c r="L84" i="66"/>
  <c r="L492" i="66"/>
  <c r="L348" i="66"/>
  <c r="L350" i="66"/>
  <c r="D27" i="66"/>
  <c r="D26" i="66"/>
  <c r="D59" i="66"/>
  <c r="L486" i="66"/>
  <c r="D58" i="66"/>
  <c r="D85" i="66"/>
  <c r="D84" i="66"/>
  <c r="L83" i="66"/>
  <c r="L270" i="66"/>
  <c r="N291" i="66"/>
  <c r="D115" i="66"/>
  <c r="D116" i="66"/>
  <c r="R250" i="65"/>
  <c r="C12" i="54"/>
  <c r="AE248" i="65"/>
  <c r="AF13" i="65"/>
  <c r="AF248" i="65"/>
  <c r="Z193" i="65"/>
  <c r="Y257" i="65"/>
  <c r="Y253" i="65"/>
  <c r="AE254" i="65"/>
  <c r="AF194" i="65"/>
  <c r="AF254" i="65"/>
  <c r="S245" i="65"/>
  <c r="S251" i="65"/>
  <c r="T10" i="65"/>
  <c r="AE257" i="65"/>
  <c r="AF193" i="65"/>
  <c r="AE253" i="65"/>
  <c r="Y247" i="65"/>
  <c r="Z12" i="65"/>
  <c r="Z247" i="65"/>
  <c r="S247" i="65"/>
  <c r="T12" i="65"/>
  <c r="T247" i="65"/>
  <c r="S246" i="65"/>
  <c r="T11" i="65"/>
  <c r="T246" i="65"/>
  <c r="Z195" i="65"/>
  <c r="Z255" i="65"/>
  <c r="Y255" i="65"/>
  <c r="Y251" i="65"/>
  <c r="Y245" i="65"/>
  <c r="Z10" i="65"/>
  <c r="S249" i="65"/>
  <c r="T14" i="65"/>
  <c r="T249" i="65"/>
  <c r="AE247" i="65"/>
  <c r="AF12" i="65"/>
  <c r="AF247" i="65"/>
  <c r="S253" i="65"/>
  <c r="S256" i="65"/>
  <c r="T193" i="65"/>
  <c r="S257" i="65"/>
  <c r="Y249" i="65"/>
  <c r="Z14" i="65"/>
  <c r="Z249" i="65"/>
  <c r="AE251" i="65"/>
  <c r="AD250" i="65"/>
  <c r="F20" i="54"/>
  <c r="F15" i="54"/>
  <c r="G15" i="54"/>
  <c r="AE249" i="65"/>
  <c r="AF10" i="65"/>
  <c r="AF245" i="65"/>
  <c r="AE245" i="65"/>
  <c r="AF14" i="65"/>
  <c r="AF249" i="65"/>
  <c r="AE256" i="65"/>
  <c r="F13" i="55"/>
  <c r="AD256" i="65"/>
  <c r="F16" i="55"/>
  <c r="E127" i="66"/>
  <c r="F127" i="66"/>
  <c r="M492" i="66"/>
  <c r="N492" i="66"/>
  <c r="L494" i="66"/>
  <c r="E85" i="66"/>
  <c r="F85" i="66"/>
  <c r="M486" i="66"/>
  <c r="L488" i="66"/>
  <c r="M488" i="66"/>
  <c r="N488" i="66"/>
  <c r="E96" i="66"/>
  <c r="F96" i="66"/>
  <c r="M480" i="66"/>
  <c r="N480" i="66"/>
  <c r="M481" i="66"/>
  <c r="N481" i="66"/>
  <c r="M41" i="66"/>
  <c r="N41" i="66"/>
  <c r="M482" i="66"/>
  <c r="N482" i="66"/>
  <c r="E86" i="66"/>
  <c r="F86" i="66"/>
  <c r="M271" i="66"/>
  <c r="N271" i="66"/>
  <c r="M46" i="66"/>
  <c r="M63" i="66"/>
  <c r="N63" i="66"/>
  <c r="E64" i="66"/>
  <c r="F64" i="66"/>
  <c r="M49" i="66"/>
  <c r="N49" i="66"/>
  <c r="M326" i="66"/>
  <c r="N326" i="66"/>
  <c r="M55" i="66"/>
  <c r="N55" i="66"/>
  <c r="E23" i="66"/>
  <c r="F23" i="66"/>
  <c r="E97" i="66"/>
  <c r="F97" i="66"/>
  <c r="E117" i="66"/>
  <c r="F117" i="66"/>
  <c r="M476" i="66"/>
  <c r="N476" i="66"/>
  <c r="E61" i="66"/>
  <c r="F61" i="66"/>
  <c r="E125" i="66"/>
  <c r="F125" i="66"/>
  <c r="E43" i="66"/>
  <c r="F43" i="66"/>
  <c r="E15" i="66"/>
  <c r="F15" i="66"/>
  <c r="M494" i="66"/>
  <c r="N494" i="66"/>
  <c r="E21" i="66"/>
  <c r="F21" i="66"/>
  <c r="E106" i="66"/>
  <c r="F106" i="66"/>
  <c r="E65" i="66"/>
  <c r="F65" i="66"/>
  <c r="M254" i="66"/>
  <c r="N254" i="66"/>
  <c r="M52" i="66"/>
  <c r="N52" i="66"/>
  <c r="E26" i="66"/>
  <c r="F26" i="66"/>
  <c r="M54" i="66"/>
  <c r="N54" i="66"/>
  <c r="M348" i="66"/>
  <c r="M53" i="66"/>
  <c r="N53" i="66"/>
  <c r="E126" i="66"/>
  <c r="F126" i="66"/>
  <c r="M255" i="66"/>
  <c r="N255" i="66"/>
  <c r="E90" i="66"/>
  <c r="F90" i="66"/>
  <c r="M40" i="66"/>
  <c r="N40" i="66"/>
  <c r="M327" i="66"/>
  <c r="N327" i="66"/>
  <c r="E6" i="66"/>
  <c r="F6" i="66"/>
  <c r="M261" i="66"/>
  <c r="N261" i="66"/>
  <c r="E5" i="66"/>
  <c r="F5" i="66"/>
  <c r="E16" i="66"/>
  <c r="F16" i="66"/>
  <c r="M247" i="66"/>
  <c r="N247" i="66"/>
  <c r="M322" i="66"/>
  <c r="N322" i="66"/>
  <c r="E46" i="66"/>
  <c r="F46" i="66"/>
  <c r="E4" i="66"/>
  <c r="F4" i="66"/>
  <c r="E40" i="66"/>
  <c r="F40" i="66"/>
  <c r="E32" i="66"/>
  <c r="F32" i="66"/>
  <c r="E48" i="66"/>
  <c r="F48" i="66"/>
  <c r="M246" i="66"/>
  <c r="N246" i="66"/>
  <c r="M249" i="66"/>
  <c r="N249" i="66"/>
  <c r="E76" i="66"/>
  <c r="F76" i="66"/>
  <c r="M258" i="66"/>
  <c r="N258" i="66"/>
  <c r="E111" i="66"/>
  <c r="F111" i="66"/>
  <c r="M474" i="66"/>
  <c r="N474" i="66"/>
  <c r="E91" i="66"/>
  <c r="F91" i="66"/>
  <c r="M252" i="66"/>
  <c r="N252" i="66"/>
  <c r="E116" i="66"/>
  <c r="F116" i="66"/>
  <c r="E49" i="66"/>
  <c r="F49" i="66"/>
  <c r="E75" i="66"/>
  <c r="F75" i="66"/>
  <c r="E13" i="66"/>
  <c r="F13" i="66"/>
  <c r="E121" i="66"/>
  <c r="F121" i="66"/>
  <c r="E54" i="66"/>
  <c r="F54" i="66"/>
  <c r="E112" i="66"/>
  <c r="F112" i="66"/>
  <c r="E89" i="66"/>
  <c r="F89" i="66"/>
  <c r="E41" i="66"/>
  <c r="F41" i="66"/>
  <c r="E81" i="66"/>
  <c r="F81" i="66"/>
  <c r="E110" i="66"/>
  <c r="F110" i="66"/>
  <c r="E53" i="66"/>
  <c r="F53" i="66"/>
  <c r="M84" i="66"/>
  <c r="E19" i="66"/>
  <c r="F19" i="66"/>
  <c r="E105" i="66"/>
  <c r="F105" i="66"/>
  <c r="E31" i="66"/>
  <c r="F31" i="66"/>
  <c r="M328" i="66"/>
  <c r="N328" i="66"/>
  <c r="N501" i="66"/>
  <c r="E16" i="63"/>
  <c r="E79" i="66"/>
  <c r="F79" i="66"/>
  <c r="E107" i="66"/>
  <c r="F107" i="66"/>
  <c r="E115" i="66"/>
  <c r="F115" i="66"/>
  <c r="E12" i="66"/>
  <c r="F12" i="66"/>
  <c r="E67" i="66"/>
  <c r="F67" i="66"/>
  <c r="E47" i="66"/>
  <c r="F47" i="66"/>
  <c r="E28" i="66"/>
  <c r="F28" i="66"/>
  <c r="E55" i="66"/>
  <c r="F55" i="66"/>
  <c r="E52" i="66"/>
  <c r="F52" i="66"/>
  <c r="M253" i="66"/>
  <c r="N253" i="66"/>
  <c r="E122" i="66"/>
  <c r="F122" i="66"/>
  <c r="E33" i="66"/>
  <c r="F33" i="66"/>
  <c r="M260" i="66"/>
  <c r="N260" i="66"/>
  <c r="E74" i="66"/>
  <c r="F74" i="66"/>
  <c r="E20" i="66"/>
  <c r="F20" i="66"/>
  <c r="E22" i="66"/>
  <c r="F22" i="66"/>
  <c r="E84" i="66"/>
  <c r="F84" i="66"/>
  <c r="M350" i="66"/>
  <c r="N350" i="66"/>
  <c r="M47" i="66"/>
  <c r="N47" i="66"/>
  <c r="E27" i="66"/>
  <c r="F27" i="66"/>
  <c r="E80" i="66"/>
  <c r="F80" i="66"/>
  <c r="M320" i="66"/>
  <c r="M331" i="66"/>
  <c r="N331" i="66"/>
  <c r="M259" i="66"/>
  <c r="N259" i="66"/>
  <c r="E98" i="66"/>
  <c r="F98" i="66"/>
  <c r="M43" i="66"/>
  <c r="N43" i="66"/>
  <c r="E14" i="66"/>
  <c r="F14" i="66"/>
  <c r="M48" i="66"/>
  <c r="E58" i="66"/>
  <c r="F58" i="66"/>
  <c r="L264" i="66"/>
  <c r="L77" i="66"/>
  <c r="L265" i="66"/>
  <c r="M265" i="66"/>
  <c r="N265" i="66"/>
  <c r="L78" i="66"/>
  <c r="M78" i="66"/>
  <c r="N78" i="66"/>
  <c r="N486" i="66"/>
  <c r="E59" i="66"/>
  <c r="F59" i="66"/>
  <c r="L342" i="66"/>
  <c r="M59" i="66"/>
  <c r="N59" i="66"/>
  <c r="M270" i="66"/>
  <c r="N270" i="66"/>
  <c r="L273" i="66"/>
  <c r="M273" i="66"/>
  <c r="N273" i="66"/>
  <c r="L86" i="66"/>
  <c r="M86" i="66"/>
  <c r="N86" i="66"/>
  <c r="M83" i="66"/>
  <c r="AF253" i="65"/>
  <c r="AF256" i="65"/>
  <c r="AF257" i="65"/>
  <c r="Y256" i="65"/>
  <c r="T245" i="65"/>
  <c r="T250" i="65"/>
  <c r="T251" i="65"/>
  <c r="Z245" i="65"/>
  <c r="Z250" i="65"/>
  <c r="Z251" i="65"/>
  <c r="Z257" i="65"/>
  <c r="Z253" i="65"/>
  <c r="Z256" i="65"/>
  <c r="T253" i="65"/>
  <c r="T256" i="65"/>
  <c r="T257" i="65"/>
  <c r="Y250" i="65"/>
  <c r="S250" i="65"/>
  <c r="N348" i="66"/>
  <c r="Q380" i="66"/>
  <c r="R380" i="66"/>
  <c r="S380" i="66"/>
  <c r="N84" i="66"/>
  <c r="Q122" i="66"/>
  <c r="R122" i="66"/>
  <c r="S122" i="66"/>
  <c r="N83" i="66"/>
  <c r="Q121" i="66"/>
  <c r="R121" i="66"/>
  <c r="S121" i="66"/>
  <c r="S123" i="66"/>
  <c r="AF250" i="65"/>
  <c r="AE250" i="65"/>
  <c r="N46" i="66"/>
  <c r="AF251" i="65"/>
  <c r="N500" i="66"/>
  <c r="N519" i="66"/>
  <c r="M342" i="66"/>
  <c r="N342" i="66"/>
  <c r="N499" i="66"/>
  <c r="E12" i="63"/>
  <c r="L344" i="66"/>
  <c r="M344" i="66"/>
  <c r="N344" i="66"/>
  <c r="O502" i="66"/>
  <c r="O521" i="66"/>
  <c r="O282" i="66"/>
  <c r="F99" i="66"/>
  <c r="N496" i="66"/>
  <c r="N282" i="66"/>
  <c r="H33" i="66"/>
  <c r="F128" i="66"/>
  <c r="F130" i="66"/>
  <c r="H43" i="66"/>
  <c r="F7" i="66"/>
  <c r="H7" i="66"/>
  <c r="H67" i="66"/>
  <c r="H49" i="66"/>
  <c r="H23" i="66"/>
  <c r="F134" i="66"/>
  <c r="M58" i="66"/>
  <c r="N58" i="66"/>
  <c r="N60" i="66"/>
  <c r="O280" i="66"/>
  <c r="H76" i="66"/>
  <c r="F133" i="66"/>
  <c r="F93" i="66"/>
  <c r="F69" i="66"/>
  <c r="H55" i="66"/>
  <c r="N320" i="66"/>
  <c r="F35" i="66"/>
  <c r="H16" i="66"/>
  <c r="M65" i="66"/>
  <c r="N65" i="66"/>
  <c r="N48" i="66"/>
  <c r="F135" i="66"/>
  <c r="M64" i="66"/>
  <c r="N64" i="66"/>
  <c r="N279" i="66"/>
  <c r="O279" i="66"/>
  <c r="M264" i="66"/>
  <c r="N264" i="66"/>
  <c r="L267" i="66"/>
  <c r="M267" i="66"/>
  <c r="N267" i="66"/>
  <c r="M77" i="66"/>
  <c r="N77" i="66"/>
  <c r="L80" i="66"/>
  <c r="M80" i="66"/>
  <c r="N80" i="66"/>
  <c r="N517" i="66"/>
  <c r="E12" i="58"/>
  <c r="E16" i="58"/>
  <c r="N303" i="66"/>
  <c r="E14" i="38"/>
  <c r="E14" i="61"/>
  <c r="N502" i="66"/>
  <c r="E14" i="63"/>
  <c r="N306" i="66"/>
  <c r="E22" i="38"/>
  <c r="E22" i="61"/>
  <c r="N518" i="66"/>
  <c r="E14" i="58"/>
  <c r="F136" i="66"/>
  <c r="N66" i="66"/>
  <c r="O308" i="66"/>
  <c r="N280" i="66"/>
  <c r="N278" i="66"/>
  <c r="O278" i="66"/>
  <c r="O283" i="66"/>
  <c r="N302" i="66"/>
  <c r="E12" i="38"/>
  <c r="E12" i="61"/>
  <c r="N304" i="66"/>
  <c r="E18" i="38"/>
  <c r="E18" i="61"/>
  <c r="N521" i="66"/>
  <c r="N281" i="66"/>
  <c r="O281" i="66"/>
  <c r="N305" i="66"/>
  <c r="E20" i="38"/>
  <c r="E20" i="61"/>
  <c r="N283" i="66"/>
  <c r="N308" i="66"/>
  <c r="E15" i="55"/>
  <c r="H16" i="58"/>
  <c r="H15" i="55"/>
  <c r="H20" i="38"/>
  <c r="H18" i="54"/>
  <c r="H22" i="38"/>
  <c r="H22" i="59"/>
  <c r="H19" i="54"/>
  <c r="H18" i="38"/>
  <c r="H18" i="59"/>
  <c r="H17" i="54"/>
  <c r="H14" i="38"/>
  <c r="H16" i="54"/>
  <c r="E17" i="54"/>
  <c r="E19" i="54"/>
  <c r="E18" i="54"/>
  <c r="E16" i="54"/>
  <c r="E14" i="55"/>
  <c r="J14" i="64"/>
  <c r="H18" i="63"/>
  <c r="K18" i="63"/>
  <c r="J20" i="64"/>
  <c r="J22" i="64"/>
  <c r="G12" i="64"/>
  <c r="J16" i="61"/>
  <c r="J24" i="61"/>
  <c r="G22" i="64"/>
  <c r="G14" i="64"/>
  <c r="J12" i="64"/>
  <c r="J18" i="64"/>
  <c r="G20" i="64"/>
  <c r="G18" i="64"/>
  <c r="H12" i="38"/>
  <c r="H12" i="59"/>
  <c r="G16" i="54"/>
  <c r="G17" i="54"/>
  <c r="G18" i="54"/>
  <c r="G19" i="54"/>
  <c r="G15" i="55"/>
  <c r="G14" i="55"/>
  <c r="J16" i="64"/>
  <c r="G16" i="64"/>
  <c r="G24" i="64"/>
  <c r="H14" i="58"/>
  <c r="H20" i="59"/>
  <c r="H14" i="55"/>
  <c r="H12" i="58"/>
  <c r="G16" i="61"/>
  <c r="G24" i="61"/>
  <c r="H16" i="38"/>
  <c r="H24" i="38"/>
  <c r="J24" i="64"/>
  <c r="E13" i="55"/>
  <c r="E16" i="55"/>
  <c r="H15" i="54"/>
  <c r="H20" i="54"/>
  <c r="G20" i="54"/>
  <c r="G16" i="55"/>
  <c r="G13" i="55"/>
  <c r="H18" i="58"/>
  <c r="H14" i="59"/>
  <c r="H16" i="59"/>
  <c r="H24" i="59"/>
  <c r="H16" i="55"/>
  <c r="H13" i="55"/>
  <c r="E20" i="54"/>
  <c r="E15" i="54"/>
  <c r="M14" i="63"/>
  <c r="J16" i="58"/>
  <c r="M16" i="63"/>
  <c r="J14" i="58"/>
  <c r="J22" i="38"/>
  <c r="E22" i="59"/>
  <c r="J22" i="59"/>
  <c r="E22" i="64"/>
  <c r="L22" i="64"/>
  <c r="M22" i="61"/>
  <c r="E14" i="59"/>
  <c r="J14" i="59"/>
  <c r="J14" i="38"/>
  <c r="E12" i="64"/>
  <c r="M12" i="61"/>
  <c r="E16" i="61"/>
  <c r="E18" i="63"/>
  <c r="M12" i="63"/>
  <c r="M18" i="63"/>
  <c r="M14" i="61"/>
  <c r="E14" i="64"/>
  <c r="L14" i="64"/>
  <c r="E20" i="64"/>
  <c r="L20" i="64"/>
  <c r="M20" i="61"/>
  <c r="E18" i="64"/>
  <c r="L18" i="64"/>
  <c r="M18" i="61"/>
  <c r="E16" i="64"/>
  <c r="L12" i="64"/>
  <c r="L16" i="64"/>
  <c r="E18" i="59"/>
  <c r="J18" i="59"/>
  <c r="J18" i="38"/>
  <c r="E12" i="59"/>
  <c r="E16" i="38"/>
  <c r="J12" i="38"/>
  <c r="E18" i="58"/>
  <c r="J18" i="58"/>
  <c r="J12" i="58"/>
  <c r="E24" i="61"/>
  <c r="E20" i="59"/>
  <c r="J20" i="59"/>
  <c r="J20" i="38"/>
  <c r="M16" i="61"/>
  <c r="M24" i="61"/>
  <c r="E16" i="59"/>
  <c r="J12" i="59"/>
  <c r="L24" i="64"/>
  <c r="J16" i="38"/>
  <c r="E24" i="38"/>
  <c r="J24" i="38"/>
  <c r="E24" i="64"/>
  <c r="E24" i="59"/>
  <c r="J24" i="59"/>
  <c r="J16" i="59"/>
</calcChain>
</file>

<file path=xl/comments1.xml><?xml version="1.0" encoding="utf-8"?>
<comments xmlns="http://schemas.openxmlformats.org/spreadsheetml/2006/main">
  <authors>
    <author>BAI</author>
  </authors>
  <commentList>
    <comment ref="K127" authorId="0" shapeId="0">
      <text>
        <r>
          <rPr>
            <b/>
            <sz val="9"/>
            <color indexed="81"/>
            <rFont val="Tahoma"/>
            <family val="2"/>
          </rPr>
          <t>BAI:</t>
        </r>
        <r>
          <rPr>
            <sz val="9"/>
            <color indexed="81"/>
            <rFont val="Tahoma"/>
            <family val="2"/>
          </rPr>
          <t xml:space="preserve">
Current Billing Determinants</t>
        </r>
      </text>
    </comment>
    <comment ref="K166" authorId="0" shapeId="0">
      <text>
        <r>
          <rPr>
            <b/>
            <sz val="9"/>
            <color indexed="81"/>
            <rFont val="Tahoma"/>
            <family val="2"/>
          </rPr>
          <t>BAI:</t>
        </r>
        <r>
          <rPr>
            <sz val="9"/>
            <color indexed="81"/>
            <rFont val="Tahoma"/>
            <family val="2"/>
          </rPr>
          <t xml:space="preserve">
Current Billing Determinants</t>
        </r>
      </text>
    </comment>
    <comment ref="K205" authorId="0" shapeId="0">
      <text>
        <r>
          <rPr>
            <b/>
            <sz val="9"/>
            <color indexed="81"/>
            <rFont val="Tahoma"/>
            <family val="2"/>
          </rPr>
          <t>BAI:</t>
        </r>
        <r>
          <rPr>
            <sz val="9"/>
            <color indexed="81"/>
            <rFont val="Tahoma"/>
            <family val="2"/>
          </rPr>
          <t xml:space="preserve">
Current Billing Determinants</t>
        </r>
      </text>
    </comment>
    <comment ref="K356" authorId="0" shapeId="0">
      <text>
        <r>
          <rPr>
            <b/>
            <sz val="9"/>
            <color indexed="81"/>
            <rFont val="Tahoma"/>
            <family val="2"/>
          </rPr>
          <t>BAI:</t>
        </r>
        <r>
          <rPr>
            <sz val="9"/>
            <color indexed="81"/>
            <rFont val="Tahoma"/>
            <family val="2"/>
          </rPr>
          <t xml:space="preserve">
Current Billing Determinants</t>
        </r>
      </text>
    </comment>
    <comment ref="K384" authorId="0" shapeId="0">
      <text>
        <r>
          <rPr>
            <b/>
            <sz val="9"/>
            <color indexed="81"/>
            <rFont val="Tahoma"/>
            <family val="2"/>
          </rPr>
          <t>BAI:</t>
        </r>
        <r>
          <rPr>
            <sz val="9"/>
            <color indexed="81"/>
            <rFont val="Tahoma"/>
            <family val="2"/>
          </rPr>
          <t xml:space="preserve">
Current Billing Determinants</t>
        </r>
      </text>
    </comment>
    <comment ref="K411" authorId="0" shapeId="0">
      <text>
        <r>
          <rPr>
            <b/>
            <sz val="9"/>
            <color indexed="81"/>
            <rFont val="Tahoma"/>
            <family val="2"/>
          </rPr>
          <t>BAI:</t>
        </r>
        <r>
          <rPr>
            <sz val="9"/>
            <color indexed="81"/>
            <rFont val="Tahoma"/>
            <family val="2"/>
          </rPr>
          <t xml:space="preserve">
Current Billing Determinants</t>
        </r>
      </text>
    </comment>
    <comment ref="K438" authorId="0" shapeId="0">
      <text>
        <r>
          <rPr>
            <b/>
            <sz val="9"/>
            <color indexed="81"/>
            <rFont val="Tahoma"/>
            <family val="2"/>
          </rPr>
          <t>BAI:</t>
        </r>
        <r>
          <rPr>
            <sz val="9"/>
            <color indexed="81"/>
            <rFont val="Tahoma"/>
            <family val="2"/>
          </rPr>
          <t xml:space="preserve">
Current Billing Determinants</t>
        </r>
      </text>
    </comment>
  </commentList>
</comments>
</file>

<file path=xl/sharedStrings.xml><?xml version="1.0" encoding="utf-8"?>
<sst xmlns="http://schemas.openxmlformats.org/spreadsheetml/2006/main" count="2741" uniqueCount="275">
  <si>
    <t>Distribution</t>
  </si>
  <si>
    <t>Marginal</t>
  </si>
  <si>
    <t>Total</t>
  </si>
  <si>
    <t>EPMC</t>
  </si>
  <si>
    <t>Revenue</t>
  </si>
  <si>
    <t>Percentage</t>
  </si>
  <si>
    <t>Allocation</t>
  </si>
  <si>
    <t>Line</t>
  </si>
  <si>
    <t>(%)</t>
  </si>
  <si>
    <t>($000)</t>
  </si>
  <si>
    <t>No.</t>
  </si>
  <si>
    <t>Customer Class</t>
  </si>
  <si>
    <t>(A)</t>
  </si>
  <si>
    <t>(B)</t>
  </si>
  <si>
    <t>(C)</t>
  </si>
  <si>
    <t>(D)</t>
  </si>
  <si>
    <t>(E)</t>
  </si>
  <si>
    <t>(F)</t>
  </si>
  <si>
    <t>(G)</t>
  </si>
  <si>
    <t xml:space="preserve">     </t>
  </si>
  <si>
    <t>Customer</t>
  </si>
  <si>
    <t>Secondary</t>
  </si>
  <si>
    <t>Primary</t>
  </si>
  <si>
    <t>Description</t>
  </si>
  <si>
    <t>Transmission</t>
  </si>
  <si>
    <t>Marginal Customer Distribution Revenue Requirement</t>
  </si>
  <si>
    <t>Total Marginal Distribution Revenue Requirement</t>
  </si>
  <si>
    <t>Rate</t>
  </si>
  <si>
    <t>Demand-Related</t>
  </si>
  <si>
    <t>Note:</t>
  </si>
  <si>
    <t>500 - 12 MW</t>
  </si>
  <si>
    <t>&gt; 12 MW</t>
  </si>
  <si>
    <t>Non-Marginal Revenue Requirement</t>
  </si>
  <si>
    <t>GRC Phase 1 Distribution Revenue Requirement:</t>
  </si>
  <si>
    <t>Marginal Distribution Revenue Requirement Allocation</t>
  </si>
  <si>
    <t>Marginal Cost</t>
  </si>
  <si>
    <t>Demand-Related Marginal Cost ($/Non-Coincident kW)</t>
  </si>
  <si>
    <t>EPMC Allocation Factor</t>
  </si>
  <si>
    <t>Factor</t>
  </si>
  <si>
    <t>Distribution Marginal Cost Allocation Factor by Customer Class</t>
  </si>
  <si>
    <t>Marginal Demand-Related Distribution Revenue Requirement</t>
  </si>
  <si>
    <t>≤500 kW</t>
  </si>
  <si>
    <t>Secondary Total</t>
  </si>
  <si>
    <t>Primary Total</t>
  </si>
  <si>
    <t>Transmission Total</t>
  </si>
  <si>
    <t>Notes:</t>
  </si>
  <si>
    <r>
      <rPr>
        <b/>
        <sz val="12"/>
        <rFont val="Times New Roman"/>
        <family val="1"/>
      </rPr>
      <t>≤</t>
    </r>
    <r>
      <rPr>
        <b/>
        <sz val="12"/>
        <rFont val="Arial"/>
        <family val="2"/>
      </rPr>
      <t xml:space="preserve"> 500 kW</t>
    </r>
  </si>
  <si>
    <t>&gt; 500 kW</t>
  </si>
  <si>
    <t>Feeder &amp; Local Distribution</t>
  </si>
  <si>
    <t>Substation</t>
  </si>
  <si>
    <t>Total Schedule AL-TOU (Total)</t>
  </si>
  <si>
    <t>Schedule A6-TOU (TOTAL)</t>
  </si>
  <si>
    <t>Primary Substation</t>
  </si>
  <si>
    <t>Secondary Substation</t>
  </si>
  <si>
    <t xml:space="preserve"> On-Peak Energy:   Summer</t>
  </si>
  <si>
    <t xml:space="preserve"> On-Peak Energy:   Winter</t>
  </si>
  <si>
    <t xml:space="preserve">    Primary</t>
  </si>
  <si>
    <t xml:space="preserve">    Primary Substation</t>
  </si>
  <si>
    <t xml:space="preserve">    Transmission</t>
  </si>
  <si>
    <t xml:space="preserve">    Secondary</t>
  </si>
  <si>
    <t xml:space="preserve">    Secondary Substation</t>
  </si>
  <si>
    <t>Transmission, Max On-Peak Summer ($/KW)</t>
  </si>
  <si>
    <t>Transmission, Winter ($/KW)</t>
  </si>
  <si>
    <t>Secondary Substation Total</t>
  </si>
  <si>
    <t>Primary Substation Total</t>
  </si>
  <si>
    <t>Distance Adjustment Fee OH - Pri Sub</t>
  </si>
  <si>
    <t>Distance Adjustment Fee UG - Pri Sub</t>
  </si>
  <si>
    <t>Distance Adjustment Fee OH - Sec Sub</t>
  </si>
  <si>
    <t>Distance Adjustment Fee UG - Sec Sub</t>
  </si>
  <si>
    <t>Revenue Requirement by Voltage Level Compared to</t>
  </si>
  <si>
    <t>AL-TOU</t>
  </si>
  <si>
    <t>Calculated Annual Revenues by Voltage Level</t>
  </si>
  <si>
    <r>
      <t>Amount</t>
    </r>
    <r>
      <rPr>
        <b/>
        <u/>
        <vertAlign val="superscript"/>
        <sz val="11"/>
        <color theme="1"/>
        <rFont val="Calibri"/>
        <family val="2"/>
        <scheme val="minor"/>
      </rPr>
      <t>1</t>
    </r>
  </si>
  <si>
    <t>Amount</t>
  </si>
  <si>
    <t>Change from last year</t>
  </si>
  <si>
    <t>Current System Determinants</t>
  </si>
  <si>
    <t>Proposed System Determinants</t>
  </si>
  <si>
    <t>A6-TOU</t>
  </si>
  <si>
    <t>System</t>
  </si>
  <si>
    <t>Present</t>
  </si>
  <si>
    <t>$/Month</t>
  </si>
  <si>
    <t>$/kW</t>
  </si>
  <si>
    <t>$/kWh</t>
  </si>
  <si>
    <t>Total Secondary</t>
  </si>
  <si>
    <t>Total Primary</t>
  </si>
  <si>
    <t>Total Secondary Substation</t>
  </si>
  <si>
    <t>Total Primary Substation</t>
  </si>
  <si>
    <t>Total Transmission</t>
  </si>
  <si>
    <t>(1)</t>
  </si>
  <si>
    <t>(2)</t>
  </si>
  <si>
    <t>(3)</t>
  </si>
  <si>
    <t>Total Sec and Pri</t>
  </si>
  <si>
    <t>AL-TOU and A6-TOU</t>
  </si>
  <si>
    <t>Transmission Energy Cost ($/kWh)</t>
  </si>
  <si>
    <t>Other Energy Cost ($/kWh)</t>
  </si>
  <si>
    <t>Estimated Distribution EPMC Revenue Requirement</t>
  </si>
  <si>
    <t>Distribution Energy Cost ($/kWh)</t>
  </si>
  <si>
    <t>Other Costs (CTC and RS $/Non-Coincident kW)</t>
  </si>
  <si>
    <t>Transmission ($/Non-Coincident kW)</t>
  </si>
  <si>
    <t>Distribution Subtotals:</t>
  </si>
  <si>
    <t>Total Distribution</t>
  </si>
  <si>
    <t>Transmission Subtotals:</t>
  </si>
  <si>
    <t>Total Other</t>
  </si>
  <si>
    <t>Distribution, Transmission and Other Subtotals:</t>
  </si>
  <si>
    <t>(4)</t>
  </si>
  <si>
    <t>Other Charges Subtotals:</t>
  </si>
  <si>
    <t>Proposed</t>
  </si>
  <si>
    <t>Ratio of Proposed Revenue</t>
  </si>
  <si>
    <t>to Revenue Requirement</t>
  </si>
  <si>
    <t>Requirement</t>
  </si>
  <si>
    <t xml:space="preserve">            Plus Transmission and Other Charges            </t>
  </si>
  <si>
    <t>Other</t>
  </si>
  <si>
    <t>Charges</t>
  </si>
  <si>
    <t>SDFFD Rate</t>
  </si>
  <si>
    <t>Proposed - Year 1</t>
  </si>
  <si>
    <t>Proposed - Year 2</t>
  </si>
  <si>
    <t>Class</t>
  </si>
  <si>
    <t>Schedule</t>
  </si>
  <si>
    <t>Assist</t>
  </si>
  <si>
    <t>Type</t>
  </si>
  <si>
    <t>Season</t>
  </si>
  <si>
    <t>TOU</t>
  </si>
  <si>
    <t>Service</t>
  </si>
  <si>
    <t>Tier</t>
  </si>
  <si>
    <t>Sales Determinants</t>
  </si>
  <si>
    <t>SDFFD</t>
  </si>
  <si>
    <t>Total Revenue</t>
  </si>
  <si>
    <t>M/L C&amp;I</t>
  </si>
  <si>
    <t>Standard</t>
  </si>
  <si>
    <t>Title</t>
  </si>
  <si>
    <t>SCHEDULE M/L C&amp;I (AL-TOU)</t>
  </si>
  <si>
    <t>Basic Service Fee</t>
  </si>
  <si>
    <t>Less than or equal to 500 kW</t>
  </si>
  <si>
    <t>BSF</t>
  </si>
  <si>
    <t>0-500 kW</t>
  </si>
  <si>
    <t>Secondary Sub.</t>
  </si>
  <si>
    <t>Primary Sub.</t>
  </si>
  <si>
    <t>Greater than 500 kW</t>
  </si>
  <si>
    <t>500 kW</t>
  </si>
  <si>
    <t>Greater than 12 MW</t>
  </si>
  <si>
    <t>12 MW</t>
  </si>
  <si>
    <t>Transmission Multiple Bus</t>
  </si>
  <si>
    <t>Distance Adj.</t>
  </si>
  <si>
    <t>OH</t>
  </si>
  <si>
    <t>Distance Adjustment Fee OH - Sec. Sub.</t>
  </si>
  <si>
    <t>$/Foot/Month</t>
  </si>
  <si>
    <t>UG</t>
  </si>
  <si>
    <t>Distance Adjustment Fee UG - Sec. Sub.</t>
  </si>
  <si>
    <t>Distance Adjustment Fee OH - Pri. Sub.</t>
  </si>
  <si>
    <t>Distance Adjustment Fee UG - Pri. Sub.</t>
  </si>
  <si>
    <t>Non-Coincident Demand</t>
  </si>
  <si>
    <t>NCD</t>
  </si>
  <si>
    <t>Non-Coincident Demand w/ SOP Exempt.</t>
  </si>
  <si>
    <t>NCD (SOP)</t>
  </si>
  <si>
    <t>On-Peak Demand</t>
  </si>
  <si>
    <t>Summer</t>
  </si>
  <si>
    <t>Demand</t>
  </si>
  <si>
    <t>Winter</t>
  </si>
  <si>
    <t>Power Factor</t>
  </si>
  <si>
    <t>$/kvar</t>
  </si>
  <si>
    <t>Summer: On-Peak Energy</t>
  </si>
  <si>
    <t>Energy</t>
  </si>
  <si>
    <t>On-Peak</t>
  </si>
  <si>
    <t>Summer: Off-Peak Energy</t>
  </si>
  <si>
    <t>Off-Peak</t>
  </si>
  <si>
    <t>Summer: Super Off-Peak Energy</t>
  </si>
  <si>
    <t>Super Off-Peak</t>
  </si>
  <si>
    <t>Winter: On-Peak Energy</t>
  </si>
  <si>
    <t>Winter: Off-Peak Energy</t>
  </si>
  <si>
    <t>Winter: Super Off-Peak Energy</t>
  </si>
  <si>
    <t>ELI</t>
  </si>
  <si>
    <t>SCHEDULE M/L C&amp;I (ELI) (AL-TOU)</t>
  </si>
  <si>
    <t>SCHEDULE M/L C&amp;I (A6-TOU)</t>
  </si>
  <si>
    <t>Distance Adjustment Fee OH</t>
  </si>
  <si>
    <t>Distance Adjustment Fee UG</t>
  </si>
  <si>
    <t>Maximum Demand at Time of System Peak: Summer</t>
  </si>
  <si>
    <t>System Peak</t>
  </si>
  <si>
    <t>Maximum Demand at Time of System Peak: Winter</t>
  </si>
  <si>
    <t>Rate AL-TOU</t>
  </si>
  <si>
    <t>Check</t>
  </si>
  <si>
    <t>Rate A6-TOU</t>
  </si>
  <si>
    <t>Determinants</t>
  </si>
  <si>
    <t>Non-Coincident Demand/On-Peak Demand Spilt:</t>
  </si>
  <si>
    <t>Residential</t>
  </si>
  <si>
    <t>Customer Marginal Cost ($/Customer-Month)</t>
  </si>
  <si>
    <t>Forecasted Average (2017-2019) Marginal Distribution Demand Capacity Costs ($000)</t>
  </si>
  <si>
    <t>Summer On-Peak Demand-Related Marginal Cost ($/On-Peak kW)</t>
  </si>
  <si>
    <t>Non-Coincident Demand-Related Marginal Cost ($/Non-Coincident kW)</t>
  </si>
  <si>
    <t>Total - Residential</t>
  </si>
  <si>
    <t>Small Commercial</t>
  </si>
  <si>
    <t>Forecasted On-Peak Related Marginal Distribution Capacity Cost Percentages</t>
  </si>
  <si>
    <t>0 - 5 kW</t>
  </si>
  <si>
    <t>&gt;5 - 20 kW</t>
  </si>
  <si>
    <t>Forecasted Average Marginal Distribution Capacity Related % of Total Distribution Demand Costs</t>
  </si>
  <si>
    <t xml:space="preserve">&gt;20 - 50 kW </t>
  </si>
  <si>
    <t>&gt;50 kW</t>
  </si>
  <si>
    <t>Forecasted Summer On-Peak Related Marginal Distribution Capacity Cost %</t>
  </si>
  <si>
    <t>FEA DR-03 - EPMC Rates and Revenues for Schedules AL-TOU and A6-TOU:</t>
  </si>
  <si>
    <t>Total - Small Commercial</t>
  </si>
  <si>
    <t>Medium/Large Commercial &amp; Industrial</t>
  </si>
  <si>
    <t>Schedule AL-TOU (Bunded)</t>
  </si>
  <si>
    <t>Total - Medium/Large Commercial &amp; Industrial</t>
  </si>
  <si>
    <t>Agricultural</t>
  </si>
  <si>
    <r>
      <rPr>
        <b/>
        <sz val="12"/>
        <rFont val="Calibri"/>
        <family val="2"/>
      </rPr>
      <t>≤</t>
    </r>
    <r>
      <rPr>
        <b/>
        <sz val="12"/>
        <rFont val="Arial"/>
        <family val="2"/>
      </rPr>
      <t>20 kW</t>
    </r>
  </si>
  <si>
    <t>&gt;20 kW</t>
  </si>
  <si>
    <t xml:space="preserve"> Primary Total</t>
  </si>
  <si>
    <t>Total - Agricultural</t>
  </si>
  <si>
    <t>Lighting</t>
  </si>
  <si>
    <t>Customer Marginal Cost ($/Lamp-Month)</t>
  </si>
  <si>
    <t>Total - Lighting</t>
  </si>
  <si>
    <t>School</t>
  </si>
  <si>
    <t>Non-Lighting</t>
  </si>
  <si>
    <t>Total - School</t>
  </si>
  <si>
    <t>Total-System</t>
  </si>
  <si>
    <t xml:space="preserve"> Off-Peak Energy: Summer</t>
  </si>
  <si>
    <t>Total - System</t>
  </si>
  <si>
    <t xml:space="preserve">  Super Off-Peak Energy:  Summer</t>
  </si>
  <si>
    <r>
      <t xml:space="preserve">(1) </t>
    </r>
    <r>
      <rPr>
        <b/>
        <sz val="10"/>
        <rFont val="Arial"/>
        <family val="2"/>
      </rPr>
      <t>Determinants</t>
    </r>
    <r>
      <rPr>
        <sz val="10"/>
        <rFont val="Arial"/>
        <family val="2"/>
      </rPr>
      <t>: sum of the 2020 determinants (customers-month, on-peak demand kW-year, and non-coincident demand kW-year) by customer class.</t>
    </r>
  </si>
  <si>
    <r>
      <t xml:space="preserve">(2) </t>
    </r>
    <r>
      <rPr>
        <b/>
        <sz val="10"/>
        <rFont val="Arial"/>
        <family val="2"/>
      </rPr>
      <t>Marginal Distribution Customer Rate ($/Customer-Month)</t>
    </r>
    <r>
      <rPr>
        <sz val="10"/>
        <rFont val="Arial"/>
        <family val="2"/>
      </rPr>
      <t>: equals the marginal distribution customer cost by class divided by the forecasted number of customer months by customer class.</t>
    </r>
  </si>
  <si>
    <t xml:space="preserve">  Off-Peak Energy: Winter</t>
  </si>
  <si>
    <r>
      <t xml:space="preserve">(3) </t>
    </r>
    <r>
      <rPr>
        <b/>
        <sz val="10"/>
        <rFont val="Arial"/>
        <family val="2"/>
      </rPr>
      <t>Marginal Distribution On-Peak Demand Rate ($/On-Peak kW)</t>
    </r>
    <r>
      <rPr>
        <sz val="10"/>
        <rFont val="Arial"/>
        <family val="2"/>
      </rPr>
      <t>: equals the marginal distribution demand cost by customer class multiplied by the percentage of distribution</t>
    </r>
  </si>
  <si>
    <t xml:space="preserve">      capacity costs associated with on-peak demand divided by the forecasted annual on-peak demand by customer class.</t>
  </si>
  <si>
    <r>
      <t xml:space="preserve">(4) </t>
    </r>
    <r>
      <rPr>
        <b/>
        <sz val="10"/>
        <rFont val="Arial"/>
        <family val="2"/>
      </rPr>
      <t>Marginal Distribution Non-Coincident Demand Rate ($/On-Peak kW)</t>
    </r>
    <r>
      <rPr>
        <sz val="10"/>
        <rFont val="Arial"/>
        <family val="2"/>
      </rPr>
      <t>: equals the marginal distribution demand cost by customer class multiplied by the percentage of distribution</t>
    </r>
  </si>
  <si>
    <t xml:space="preserve">      capacity costs associated with noncoincident demand divided by the forecasted annual non-coincident demand by customer class.</t>
  </si>
  <si>
    <r>
      <t>(5)</t>
    </r>
    <r>
      <rPr>
        <b/>
        <sz val="10"/>
        <rFont val="Arial"/>
        <family val="2"/>
      </rPr>
      <t xml:space="preserve"> EPMC Distribution Rate</t>
    </r>
    <r>
      <rPr>
        <sz val="10"/>
        <rFont val="Arial"/>
        <family val="2"/>
      </rPr>
      <t>: equals the Marginal Distribution Rate multiplied by the EPMC Distribution Allocation Factor.</t>
    </r>
  </si>
  <si>
    <r>
      <t xml:space="preserve">(6) </t>
    </r>
    <r>
      <rPr>
        <b/>
        <sz val="10"/>
        <rFont val="Arial"/>
        <family val="2"/>
      </rPr>
      <t>EPMC Distribution Revenue Allocation</t>
    </r>
    <r>
      <rPr>
        <sz val="10"/>
        <rFont val="Arial"/>
        <family val="2"/>
      </rPr>
      <t>: equals the EPMC Distribution Rate multiplying by the applicable determinants.</t>
    </r>
  </si>
  <si>
    <t xml:space="preserve">  Super Off-Peak Energy:  Winter</t>
  </si>
  <si>
    <t xml:space="preserve"> Off-Peak Energy: Winter</t>
  </si>
  <si>
    <t>Off-Peak Energy: Summer</t>
  </si>
  <si>
    <t>Total - Schedule AL-TOU (Bundled)</t>
  </si>
  <si>
    <t>Schedule AL-TOU (DA/CCA)</t>
  </si>
  <si>
    <t>Total - Schedule AL-TOU (DA/CCA)</t>
  </si>
  <si>
    <t>Schedule A6-TOU (Bunded)</t>
  </si>
  <si>
    <t>Schedule A6-TOU (DA/CCA)</t>
  </si>
  <si>
    <t>Change from 2020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</si>
  <si>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0"/>
        <rFont val="Arial"/>
        <family val="2"/>
      </rPr>
      <t>2020 amount is calculated based on rate on 1/1/2020.</t>
    </r>
  </si>
  <si>
    <t>Percentage change from 2020 is based on current system billing determinants.</t>
  </si>
  <si>
    <t xml:space="preserve">         Proposed Year 2 Revenue by Voltage Level        </t>
  </si>
  <si>
    <t xml:space="preserve">  Off-Peak Energy: Summer</t>
  </si>
  <si>
    <t xml:space="preserve"> Super Off-Peak Energy:  Winter</t>
  </si>
  <si>
    <t>Off-Peak Energy: Winter</t>
  </si>
  <si>
    <t>Total Other Charges</t>
  </si>
  <si>
    <t>Public Advocates Office Proposed</t>
  </si>
  <si>
    <t>SDG&amp;E Cost Based Proposal</t>
  </si>
  <si>
    <r>
      <t xml:space="preserve">(1) </t>
    </r>
    <r>
      <rPr>
        <b/>
        <sz val="10"/>
        <rFont val="Arial"/>
        <family val="2"/>
      </rPr>
      <t>Customer Marginal Cost Revenue</t>
    </r>
    <r>
      <rPr>
        <sz val="10"/>
        <rFont val="Arial"/>
        <family val="2"/>
      </rPr>
      <t>: reflects customer-related distribution marginal costs.</t>
    </r>
  </si>
  <si>
    <r>
      <t xml:space="preserve">(2) </t>
    </r>
    <r>
      <rPr>
        <b/>
        <sz val="10"/>
        <rFont val="Arial"/>
        <family val="2"/>
      </rPr>
      <t>Demand-Related Marginal Cost Revenue</t>
    </r>
    <r>
      <rPr>
        <sz val="10"/>
        <rFont val="Arial"/>
        <family val="2"/>
      </rPr>
      <t>: reflects feeder &amp; local distribution and substation demand-related distribution marginal costs.</t>
    </r>
  </si>
  <si>
    <t>Percent of Total</t>
  </si>
  <si>
    <t>Sources:</t>
  </si>
  <si>
    <r>
      <t xml:space="preserve">Preliminary MCAC and MDDC Proposals </t>
    </r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</t>
    </r>
  </si>
  <si>
    <r>
      <t xml:space="preserve">Distribution Marginal Cost Allocation Factor by Customer Class </t>
    </r>
    <r>
      <rPr>
        <b/>
        <vertAlign val="superscript"/>
        <sz val="12"/>
        <rFont val="Arial"/>
        <family val="2"/>
      </rPr>
      <t>2</t>
    </r>
    <r>
      <rPr>
        <b/>
        <sz val="12"/>
        <rFont val="Arial"/>
        <family val="2"/>
      </rPr>
      <t xml:space="preserve"> 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</si>
  <si>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PAO Chapter 4 - Distribution Revenue (Wildfire Costs Included in EPMC Revenues) - Tables 4-2 (Public).xls, Tab "Distrib Allocation Factors".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</si>
  <si>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SDG&amp;E Chapter 5 Second Revised Prepared Direct Testimony of William G. Saxe, Attachment B.1.</t>
    </r>
  </si>
  <si>
    <t>SAN DIEGO GAS &amp; ELECTRIC</t>
  </si>
  <si>
    <t>Cost-Based and Proposed Allocations</t>
  </si>
  <si>
    <t>Commodity</t>
  </si>
  <si>
    <t>CTC</t>
  </si>
  <si>
    <t>LGC</t>
  </si>
  <si>
    <t>Cost-Based Allocation</t>
  </si>
  <si>
    <t>Proposed Allocation</t>
  </si>
  <si>
    <t>Streetlighting</t>
  </si>
  <si>
    <t>Schools</t>
  </si>
  <si>
    <t>N/A</t>
  </si>
  <si>
    <t>SDG&amp;E's Proposed Revenue Recovery Components</t>
  </si>
  <si>
    <t>Compared to SDG&amp;E's Calculated Cost of Service</t>
  </si>
  <si>
    <t>SDG&amp;E's Proposed Revenue Recovery of Distribution and Commodity Costs</t>
  </si>
  <si>
    <t>Source:    SDG&amp;E's Response to FEA's Data Request 3 on February 26, 2020, Question 3-8.</t>
  </si>
  <si>
    <t>Sources:    SDG&amp;E's Response to FEA's Data Request 3 on February 26, 2020, Question 3-12.</t>
  </si>
  <si>
    <t xml:space="preserve">                       SDG&amp;E's Chapter 3 Workpapers, File "2019 GRC Phase 2-Chapter 3_WP1-Public.xlsx".</t>
  </si>
  <si>
    <t>SAN DIEGO GAS &amp; ELECTRIC COMPANY</t>
  </si>
  <si>
    <t>Over / (Under) Cost</t>
  </si>
  <si>
    <t>Percent             Over / (Under)    Cost</t>
  </si>
  <si>
    <t>Source:    SDG&amp;E's Response to FEA's Data Request 3 on February 26, 2020, Question 3-9.</t>
  </si>
  <si>
    <t>SAN DIEGO GAS &amp; ELECTRIC COMPANY ("SDG&amp;E")</t>
  </si>
  <si>
    <t>TEST YEAR ("TY") 2019 GENERAL RATE CASE ("GRC") PHASE 2, APPLICATION ("A.") 19-03-002</t>
  </si>
  <si>
    <t>DISTRIBUTION REVENUE ALLOCATION WORKPAPERS - CHAPTER 5 (SAXE) - REVISED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</si>
</sst>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&quot;$&quot;#,##0"/>
    <numFmt numFmtId="167" formatCode="General_)"/>
    <numFmt numFmtId="168" formatCode="&quot;$&quot;#,##0.00"/>
    <numFmt numFmtId="169" formatCode="&quot;$&quot;#,##0.0"/>
    <numFmt numFmtId="170" formatCode="_(&quot;$&quot;* #,##0_);_(&quot;$&quot;* \(#,##0\);_(&quot;$&quot;* &quot;-&quot;??_);_(@_)"/>
    <numFmt numFmtId="171" formatCode="_(#,##0_);_(\(#,##0\);_(&quot;-&quot;??_);_(@_)"/>
    <numFmt numFmtId="172" formatCode="&quot;$&quot;#,##0.000"/>
    <numFmt numFmtId="173" formatCode="0.00000%"/>
    <numFmt numFmtId="174" formatCode="#,##0.00000_);[Red]\(#,##0.00000\)"/>
    <numFmt numFmtId="175" formatCode="_(* #,##0.00000_);_(* \(#,##0.00000\);_(* &quot;-&quot;??_);_(@_)"/>
    <numFmt numFmtId="176" formatCode="_(* #,##0.000_);_(* \(#,##0.000\);_(* &quot;-&quot;??_);_(@_)"/>
    <numFmt numFmtId="177" formatCode="0.00000_);\(0.00000\)"/>
    <numFmt numFmtId="178" formatCode="0.0%;\(0.0%\)"/>
  </numFmts>
  <fonts count="72" x14ac:knownFonts="1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7"/>
      <name val="Arial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u val="singleAccounting"/>
      <sz val="10"/>
      <name val="Arial"/>
      <family val="2"/>
    </font>
    <font>
      <b/>
      <sz val="14"/>
      <name val="Arial"/>
      <family val="2"/>
    </font>
    <font>
      <b/>
      <sz val="10"/>
      <color indexed="23"/>
      <name val="Lucida Console"/>
      <family val="3"/>
    </font>
    <font>
      <sz val="10"/>
      <color indexed="9"/>
      <name val="Arial"/>
      <family val="2"/>
    </font>
    <font>
      <b/>
      <i/>
      <sz val="10"/>
      <color indexed="10"/>
      <name val="Arial"/>
      <family val="2"/>
    </font>
    <font>
      <b/>
      <i/>
      <sz val="10"/>
      <color indexed="63"/>
      <name val="Arial"/>
      <family val="2"/>
    </font>
    <font>
      <sz val="12"/>
      <color indexed="8"/>
      <name val="Calibri"/>
      <family val="2"/>
    </font>
    <font>
      <b/>
      <u/>
      <sz val="12"/>
      <name val="Arial"/>
      <family val="2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b/>
      <u/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System"/>
      <family val="2"/>
    </font>
    <font>
      <b/>
      <u/>
      <sz val="14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rgb="FFFF0000"/>
      <name val="Arial"/>
      <family val="2"/>
    </font>
    <font>
      <sz val="10"/>
      <color rgb="FF0000FF"/>
      <name val="Arial"/>
      <family val="2"/>
    </font>
    <font>
      <i/>
      <sz val="12"/>
      <name val="Arial"/>
      <family val="2"/>
    </font>
    <font>
      <b/>
      <sz val="12"/>
      <name val="Calibri"/>
      <family val="2"/>
    </font>
    <font>
      <b/>
      <sz val="10"/>
      <color rgb="FF0000FF"/>
      <name val="Arial"/>
      <family val="2"/>
    </font>
    <font>
      <b/>
      <sz val="12"/>
      <color rgb="FF0000FF"/>
      <name val="Arial"/>
      <family val="2"/>
    </font>
    <font>
      <b/>
      <vertAlign val="superscript"/>
      <sz val="12"/>
      <name val="Arial"/>
      <family val="2"/>
    </font>
    <font>
      <vertAlign val="superscript"/>
      <sz val="10"/>
      <name val="Arial"/>
      <family val="2"/>
    </font>
    <font>
      <b/>
      <sz val="18"/>
      <color theme="1"/>
      <name val="Arial"/>
      <family val="2"/>
    </font>
    <font>
      <b/>
      <u/>
      <sz val="14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61"/>
      </left>
      <right/>
      <top/>
      <bottom/>
      <diagonal/>
    </border>
    <border>
      <left style="medium">
        <color indexed="60"/>
      </left>
      <right/>
      <top/>
      <bottom/>
      <diagonal/>
    </border>
    <border>
      <left style="medium">
        <color indexed="59"/>
      </left>
      <right/>
      <top/>
      <bottom/>
      <diagonal/>
    </border>
    <border>
      <left style="medium">
        <color indexed="61"/>
      </left>
      <right style="medium">
        <color indexed="61"/>
      </right>
      <top style="medium">
        <color indexed="61"/>
      </top>
      <bottom style="medium">
        <color indexed="61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167" fontId="11" fillId="0" borderId="0"/>
    <xf numFmtId="0" fontId="12" fillId="3" borderId="0" applyNumberFormat="0" applyBorder="0" applyAlignment="0" applyProtection="0"/>
    <xf numFmtId="0" fontId="13" fillId="20" borderId="1" applyNumberFormat="0" applyAlignment="0" applyProtection="0"/>
    <xf numFmtId="0" fontId="14" fillId="21" borderId="2" applyNumberFormat="0" applyAlignment="0" applyProtection="0"/>
    <xf numFmtId="43" fontId="2" fillId="0" borderId="0" applyFont="0" applyFill="0" applyBorder="0" applyAlignment="0" applyProtection="0"/>
    <xf numFmtId="40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8" fontId="15" fillId="0" borderId="0" applyFont="0" applyFill="0" applyBorder="0" applyAlignment="0" applyProtection="0"/>
    <xf numFmtId="44" fontId="40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1" applyNumberFormat="0" applyAlignment="0" applyProtection="0"/>
    <xf numFmtId="0" fontId="22" fillId="0" borderId="6" applyNumberFormat="0" applyFill="0" applyAlignment="0" applyProtection="0"/>
    <xf numFmtId="0" fontId="23" fillId="22" borderId="0" applyNumberFormat="0" applyBorder="0" applyAlignment="0" applyProtection="0"/>
    <xf numFmtId="167" fontId="24" fillId="0" borderId="0"/>
    <xf numFmtId="0" fontId="8" fillId="0" borderId="0"/>
    <xf numFmtId="0" fontId="8" fillId="0" borderId="0"/>
    <xf numFmtId="0" fontId="8" fillId="0" borderId="0"/>
    <xf numFmtId="0" fontId="43" fillId="0" borderId="0"/>
    <xf numFmtId="0" fontId="2" fillId="0" borderId="0"/>
    <xf numFmtId="0" fontId="2" fillId="0" borderId="0"/>
    <xf numFmtId="167" fontId="3" fillId="0" borderId="0"/>
    <xf numFmtId="167" fontId="3" fillId="0" borderId="0"/>
    <xf numFmtId="0" fontId="9" fillId="23" borderId="7" applyNumberFormat="0" applyFont="0" applyAlignment="0" applyProtection="0"/>
    <xf numFmtId="0" fontId="25" fillId="20" borderId="8" applyNumberFormat="0" applyAlignment="0" applyProtection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 applyNumberFormat="0" applyFont="0" applyBorder="0" applyAlignment="0" applyProtection="0"/>
    <xf numFmtId="0" fontId="35" fillId="0" borderId="0" applyNumberFormat="0" applyFill="0" applyBorder="0" applyAlignment="0" applyProtection="0"/>
    <xf numFmtId="0" fontId="30" fillId="24" borderId="0" applyNumberFormat="0" applyBorder="0" applyProtection="0">
      <alignment wrapText="1"/>
    </xf>
    <xf numFmtId="0" fontId="30" fillId="0" borderId="0" applyNumberFormat="0" applyFill="0" applyBorder="0" applyProtection="0">
      <alignment wrapText="1"/>
    </xf>
    <xf numFmtId="0" fontId="3" fillId="0" borderId="0" applyNumberFormat="0" applyFill="0" applyBorder="0" applyProtection="0">
      <alignment vertical="top" wrapText="1"/>
    </xf>
    <xf numFmtId="0" fontId="36" fillId="0" borderId="0" applyNumberFormat="0" applyFill="0" applyBorder="0" applyAlignment="0" applyProtection="0"/>
    <xf numFmtId="0" fontId="2" fillId="0" borderId="9" applyNumberFormat="0" applyFont="0" applyFill="0" applyAlignment="0" applyProtection="0"/>
    <xf numFmtId="0" fontId="2" fillId="0" borderId="10" applyNumberFormat="0" applyFont="0" applyFill="0" applyAlignment="0" applyProtection="0"/>
    <xf numFmtId="0" fontId="2" fillId="0" borderId="11" applyNumberFormat="0" applyFont="0" applyFill="0" applyAlignment="0" applyProtection="0"/>
    <xf numFmtId="0" fontId="37" fillId="25" borderId="12" applyNumberFormat="0" applyAlignment="0" applyProtection="0"/>
    <xf numFmtId="0" fontId="37" fillId="26" borderId="13" applyNumberFormat="0" applyAlignment="0" applyProtection="0"/>
    <xf numFmtId="0" fontId="2" fillId="27" borderId="14" applyNumberFormat="0" applyFont="0" applyAlignment="0" applyProtection="0"/>
    <xf numFmtId="0" fontId="2" fillId="28" borderId="15" applyNumberFormat="0" applyFont="0" applyAlignment="0" applyProtection="0"/>
    <xf numFmtId="0" fontId="2" fillId="29" borderId="16" applyNumberFormat="0" applyFont="0" applyAlignment="0" applyProtection="0"/>
    <xf numFmtId="0" fontId="2" fillId="30" borderId="17" applyNumberFormat="0" applyFont="0" applyAlignment="0" applyProtection="0"/>
    <xf numFmtId="0" fontId="2" fillId="31" borderId="0" applyNumberFormat="0" applyFont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9" fillId="0" borderId="18" applyNumberFormat="0" applyFill="0" applyAlignment="0" applyProtection="0"/>
    <xf numFmtId="0" fontId="2" fillId="0" borderId="0" applyNumberFormat="0" applyFont="0" applyBorder="0" applyAlignment="0" applyProtection="0"/>
    <xf numFmtId="0" fontId="26" fillId="0" borderId="0" applyNumberFormat="0" applyFill="0" applyBorder="0" applyAlignment="0" applyProtection="0"/>
    <xf numFmtId="0" fontId="27" fillId="0" borderId="19" applyNumberFormat="0" applyFill="0" applyAlignment="0" applyProtection="0"/>
    <xf numFmtId="0" fontId="28" fillId="0" borderId="0" applyNumberFormat="0" applyFill="0" applyBorder="0" applyAlignment="0" applyProtection="0"/>
    <xf numFmtId="40" fontId="15" fillId="0" borderId="0" applyFont="0" applyFill="0" applyBorder="0" applyAlignment="0" applyProtection="0"/>
    <xf numFmtId="44" fontId="46" fillId="0" borderId="0" applyFont="0" applyFill="0" applyBorder="0" applyAlignment="0" applyProtection="0"/>
    <xf numFmtId="0" fontId="48" fillId="0" borderId="0"/>
    <xf numFmtId="44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4" fillId="0" borderId="0" applyFont="0" applyFill="0" applyBorder="0" applyAlignment="0" applyProtection="0"/>
    <xf numFmtId="40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8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2" fillId="0" borderId="0" applyFont="0" applyFill="0" applyBorder="0" applyAlignment="0" applyProtection="0"/>
    <xf numFmtId="167" fontId="3" fillId="0" borderId="0"/>
    <xf numFmtId="167" fontId="3" fillId="0" borderId="0"/>
    <xf numFmtId="0" fontId="2" fillId="0" borderId="0"/>
    <xf numFmtId="0" fontId="48" fillId="0" borderId="0"/>
    <xf numFmtId="0" fontId="48" fillId="0" borderId="0"/>
    <xf numFmtId="0" fontId="48" fillId="0" borderId="0"/>
    <xf numFmtId="167" fontId="3" fillId="0" borderId="0"/>
    <xf numFmtId="0" fontId="55" fillId="0" borderId="0"/>
    <xf numFmtId="0" fontId="2" fillId="0" borderId="0"/>
    <xf numFmtId="167" fontId="3" fillId="0" borderId="0"/>
    <xf numFmtId="0" fontId="2" fillId="0" borderId="0"/>
    <xf numFmtId="0" fontId="2" fillId="0" borderId="0"/>
    <xf numFmtId="167" fontId="3" fillId="0" borderId="0"/>
    <xf numFmtId="0" fontId="48" fillId="0" borderId="0"/>
    <xf numFmtId="167" fontId="3" fillId="0" borderId="0"/>
    <xf numFmtId="167" fontId="3" fillId="0" borderId="0"/>
    <xf numFmtId="9" fontId="4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2" fillId="0" borderId="0"/>
    <xf numFmtId="0" fontId="57" fillId="0" borderId="0"/>
    <xf numFmtId="9" fontId="57" fillId="0" borderId="0" applyFont="0" applyFill="0" applyBorder="0" applyAlignment="0" applyProtection="0"/>
    <xf numFmtId="0" fontId="48" fillId="0" borderId="0"/>
    <xf numFmtId="43" fontId="57" fillId="0" borderId="0" applyFont="0" applyFill="0" applyBorder="0" applyAlignment="0" applyProtection="0"/>
    <xf numFmtId="0" fontId="48" fillId="0" borderId="0"/>
    <xf numFmtId="0" fontId="1" fillId="0" borderId="0"/>
    <xf numFmtId="43" fontId="1" fillId="0" borderId="0" applyFont="0" applyFill="0" applyBorder="0" applyAlignment="0" applyProtection="0"/>
  </cellStyleXfs>
  <cellXfs count="364">
    <xf numFmtId="0" fontId="0" fillId="0" borderId="0" xfId="0"/>
    <xf numFmtId="167" fontId="4" fillId="0" borderId="0" xfId="51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164" fontId="6" fillId="0" borderId="0" xfId="29" applyNumberFormat="1" applyFont="1" applyFill="1" applyBorder="1"/>
    <xf numFmtId="0" fontId="0" fillId="0" borderId="0" xfId="0" applyBorder="1"/>
    <xf numFmtId="164" fontId="4" fillId="0" borderId="0" xfId="29" applyNumberFormat="1" applyFont="1" applyFill="1" applyBorder="1"/>
    <xf numFmtId="167" fontId="4" fillId="0" borderId="0" xfId="51" applyFont="1" applyFill="1" applyAlignment="1">
      <alignment horizontal="left"/>
    </xf>
    <xf numFmtId="0" fontId="4" fillId="0" borderId="0" xfId="50" applyFont="1" applyFill="1" applyBorder="1"/>
    <xf numFmtId="166" fontId="4" fillId="0" borderId="0" xfId="29" applyNumberFormat="1" applyFont="1" applyFill="1" applyBorder="1"/>
    <xf numFmtId="0" fontId="5" fillId="0" borderId="0" xfId="0" applyFont="1" applyFill="1"/>
    <xf numFmtId="0" fontId="2" fillId="0" borderId="0" xfId="0" applyFont="1" applyFill="1" applyBorder="1"/>
    <xf numFmtId="0" fontId="30" fillId="0" borderId="0" xfId="0" applyFont="1"/>
    <xf numFmtId="0" fontId="0" fillId="0" borderId="0" xfId="0" applyFill="1"/>
    <xf numFmtId="167" fontId="4" fillId="0" borderId="0" xfId="52" applyFont="1" applyFill="1" applyBorder="1" applyAlignment="1">
      <alignment horizontal="center"/>
    </xf>
    <xf numFmtId="167" fontId="4" fillId="0" borderId="20" xfId="52" applyFont="1" applyFill="1" applyBorder="1" applyAlignment="1">
      <alignment horizontal="center"/>
    </xf>
    <xf numFmtId="168" fontId="4" fillId="0" borderId="0" xfId="29" applyNumberFormat="1" applyFont="1" applyFill="1" applyBorder="1"/>
    <xf numFmtId="168" fontId="4" fillId="0" borderId="23" xfId="29" applyNumberFormat="1" applyFont="1" applyFill="1" applyBorder="1"/>
    <xf numFmtId="164" fontId="4" fillId="0" borderId="23" xfId="29" applyNumberFormat="1" applyFont="1" applyFill="1" applyBorder="1"/>
    <xf numFmtId="0" fontId="30" fillId="0" borderId="0" xfId="0" applyFont="1" applyAlignment="1">
      <alignment horizontal="center"/>
    </xf>
    <xf numFmtId="167" fontId="2" fillId="0" borderId="0" xfId="51" applyFont="1" applyFill="1" applyBorder="1" applyAlignment="1">
      <alignment horizontal="left"/>
    </xf>
    <xf numFmtId="0" fontId="0" fillId="0" borderId="0" xfId="0" applyAlignment="1">
      <alignment horizontal="center"/>
    </xf>
    <xf numFmtId="0" fontId="47" fillId="0" borderId="0" xfId="0" applyFont="1"/>
    <xf numFmtId="0" fontId="47" fillId="0" borderId="0" xfId="0" applyFont="1" applyAlignment="1">
      <alignment horizontal="center"/>
    </xf>
    <xf numFmtId="170" fontId="0" fillId="0" borderId="0" xfId="85" applyNumberFormat="1" applyFont="1"/>
    <xf numFmtId="170" fontId="0" fillId="0" borderId="23" xfId="85" applyNumberFormat="1" applyFont="1" applyBorder="1"/>
    <xf numFmtId="170" fontId="0" fillId="0" borderId="0" xfId="0" applyNumberFormat="1"/>
    <xf numFmtId="170" fontId="0" fillId="0" borderId="40" xfId="0" applyNumberFormat="1" applyBorder="1"/>
    <xf numFmtId="0" fontId="35" fillId="0" borderId="0" xfId="0" applyFont="1" applyAlignment="1">
      <alignment horizontal="center"/>
    </xf>
    <xf numFmtId="170" fontId="51" fillId="0" borderId="25" xfId="87" applyNumberFormat="1" applyFont="1" applyBorder="1"/>
    <xf numFmtId="170" fontId="0" fillId="0" borderId="22" xfId="87" applyNumberFormat="1" applyFont="1" applyBorder="1"/>
    <xf numFmtId="171" fontId="51" fillId="0" borderId="25" xfId="87" applyNumberFormat="1" applyFont="1" applyBorder="1"/>
    <xf numFmtId="171" fontId="0" fillId="0" borderId="22" xfId="87" applyNumberFormat="1" applyFont="1" applyBorder="1"/>
    <xf numFmtId="171" fontId="51" fillId="0" borderId="41" xfId="87" applyNumberFormat="1" applyFont="1" applyBorder="1"/>
    <xf numFmtId="171" fontId="51" fillId="0" borderId="42" xfId="87" applyNumberFormat="1" applyFont="1" applyBorder="1"/>
    <xf numFmtId="171" fontId="0" fillId="0" borderId="25" xfId="87" applyNumberFormat="1" applyFont="1" applyBorder="1"/>
    <xf numFmtId="171" fontId="0" fillId="0" borderId="0" xfId="87" applyNumberFormat="1" applyFont="1" applyBorder="1"/>
    <xf numFmtId="170" fontId="0" fillId="0" borderId="25" xfId="87" applyNumberFormat="1" applyFont="1" applyBorder="1"/>
    <xf numFmtId="170" fontId="51" fillId="0" borderId="22" xfId="87" applyNumberFormat="1" applyFont="1" applyBorder="1"/>
    <xf numFmtId="171" fontId="51" fillId="0" borderId="22" xfId="87" applyNumberFormat="1" applyFont="1" applyBorder="1"/>
    <xf numFmtId="37" fontId="51" fillId="0" borderId="41" xfId="87" applyNumberFormat="1" applyFont="1" applyBorder="1"/>
    <xf numFmtId="37" fontId="0" fillId="0" borderId="25" xfId="87" applyNumberFormat="1" applyFont="1" applyBorder="1"/>
    <xf numFmtId="0" fontId="48" fillId="0" borderId="0" xfId="101"/>
    <xf numFmtId="0" fontId="43" fillId="0" borderId="0" xfId="101" applyFont="1" applyAlignment="1">
      <alignment horizontal="center"/>
    </xf>
    <xf numFmtId="0" fontId="50" fillId="0" borderId="0" xfId="101" applyFont="1" applyAlignment="1">
      <alignment horizontal="center"/>
    </xf>
    <xf numFmtId="0" fontId="51" fillId="0" borderId="25" xfId="101" applyFont="1" applyBorder="1" applyAlignment="1">
      <alignment horizontal="center"/>
    </xf>
    <xf numFmtId="0" fontId="51" fillId="0" borderId="0" xfId="101" applyFont="1"/>
    <xf numFmtId="0" fontId="50" fillId="0" borderId="25" xfId="101" applyFont="1" applyBorder="1" applyAlignment="1">
      <alignment horizontal="center"/>
    </xf>
    <xf numFmtId="0" fontId="50" fillId="0" borderId="22" xfId="101" applyFont="1" applyBorder="1" applyAlignment="1">
      <alignment horizontal="center"/>
    </xf>
    <xf numFmtId="0" fontId="50" fillId="0" borderId="0" xfId="101" applyFont="1" applyBorder="1" applyAlignment="1">
      <alignment horizontal="center"/>
    </xf>
    <xf numFmtId="0" fontId="48" fillId="0" borderId="25" xfId="101" applyBorder="1"/>
    <xf numFmtId="0" fontId="48" fillId="0" borderId="22" xfId="101" applyBorder="1"/>
    <xf numFmtId="0" fontId="48" fillId="0" borderId="0" xfId="101" applyBorder="1"/>
    <xf numFmtId="0" fontId="48" fillId="0" borderId="0" xfId="101" applyAlignment="1">
      <alignment horizontal="center"/>
    </xf>
    <xf numFmtId="10" fontId="0" fillId="0" borderId="25" xfId="114" applyNumberFormat="1" applyFont="1" applyBorder="1" applyAlignment="1">
      <alignment horizontal="center"/>
    </xf>
    <xf numFmtId="10" fontId="0" fillId="0" borderId="0" xfId="114" applyNumberFormat="1" applyFont="1" applyAlignment="1">
      <alignment horizontal="center"/>
    </xf>
    <xf numFmtId="0" fontId="51" fillId="0" borderId="0" xfId="101" applyFont="1" applyAlignment="1">
      <alignment horizontal="center"/>
    </xf>
    <xf numFmtId="10" fontId="51" fillId="0" borderId="41" xfId="114" applyNumberFormat="1" applyFont="1" applyBorder="1" applyAlignment="1">
      <alignment horizontal="center"/>
    </xf>
    <xf numFmtId="10" fontId="51" fillId="0" borderId="40" xfId="114" applyNumberFormat="1" applyFont="1" applyBorder="1" applyAlignment="1">
      <alignment horizontal="center"/>
    </xf>
    <xf numFmtId="0" fontId="48" fillId="0" borderId="25" xfId="101" applyBorder="1" applyAlignment="1">
      <alignment horizontal="center"/>
    </xf>
    <xf numFmtId="10" fontId="51" fillId="0" borderId="25" xfId="114" applyNumberFormat="1" applyFont="1" applyBorder="1" applyAlignment="1">
      <alignment horizontal="center"/>
    </xf>
    <xf numFmtId="10" fontId="51" fillId="0" borderId="0" xfId="114" applyNumberFormat="1" applyFont="1" applyAlignment="1">
      <alignment horizontal="center"/>
    </xf>
    <xf numFmtId="0" fontId="48" fillId="0" borderId="39" xfId="101" applyBorder="1" applyAlignment="1">
      <alignment horizontal="right"/>
    </xf>
    <xf numFmtId="0" fontId="48" fillId="0" borderId="39" xfId="101" applyBorder="1"/>
    <xf numFmtId="0" fontId="48" fillId="0" borderId="0" xfId="101" applyFill="1" applyBorder="1"/>
    <xf numFmtId="167" fontId="3" fillId="0" borderId="0" xfId="51" applyFont="1" applyFill="1" applyAlignment="1" applyProtection="1">
      <alignment horizontal="left"/>
    </xf>
    <xf numFmtId="39" fontId="0" fillId="0" borderId="0" xfId="29" applyNumberFormat="1" applyFont="1" applyAlignment="1">
      <alignment horizontal="center"/>
    </xf>
    <xf numFmtId="39" fontId="0" fillId="0" borderId="23" xfId="29" applyNumberFormat="1" applyFont="1" applyBorder="1" applyAlignment="1">
      <alignment horizontal="center"/>
    </xf>
    <xf numFmtId="39" fontId="0" fillId="0" borderId="40" xfId="29" applyNumberFormat="1" applyFont="1" applyBorder="1" applyAlignment="1">
      <alignment horizontal="center"/>
    </xf>
    <xf numFmtId="0" fontId="30" fillId="0" borderId="0" xfId="0" applyFont="1" applyAlignment="1">
      <alignment horizontal="left"/>
    </xf>
    <xf numFmtId="0" fontId="30" fillId="0" borderId="0" xfId="0" quotePrefix="1" applyFont="1" applyAlignment="1">
      <alignment horizontal="center"/>
    </xf>
    <xf numFmtId="170" fontId="0" fillId="0" borderId="0" xfId="85" applyNumberFormat="1" applyFont="1" applyBorder="1"/>
    <xf numFmtId="39" fontId="0" fillId="0" borderId="0" xfId="29" applyNumberFormat="1" applyFont="1" applyBorder="1" applyAlignment="1">
      <alignment horizontal="center"/>
    </xf>
    <xf numFmtId="170" fontId="0" fillId="0" borderId="0" xfId="0" applyNumberFormat="1" applyBorder="1"/>
    <xf numFmtId="0" fontId="35" fillId="0" borderId="0" xfId="0" applyFont="1" applyAlignment="1">
      <alignment horizontal="center"/>
    </xf>
    <xf numFmtId="167" fontId="4" fillId="0" borderId="0" xfId="51" applyFont="1" applyFill="1" applyBorder="1" applyAlignment="1">
      <alignment horizontal="center"/>
    </xf>
    <xf numFmtId="0" fontId="51" fillId="0" borderId="0" xfId="101" applyFont="1" applyBorder="1" applyAlignment="1">
      <alignment horizontal="center"/>
    </xf>
    <xf numFmtId="0" fontId="30" fillId="0" borderId="23" xfId="0" applyFont="1" applyBorder="1" applyAlignment="1">
      <alignment horizontal="center"/>
    </xf>
    <xf numFmtId="0" fontId="30" fillId="0" borderId="23" xfId="0" quotePrefix="1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0" xfId="0" quotePrefix="1" applyFont="1" applyBorder="1" applyAlignment="1">
      <alignment horizontal="center"/>
    </xf>
    <xf numFmtId="0" fontId="30" fillId="0" borderId="0" xfId="0" applyFont="1" applyAlignment="1">
      <alignment horizontal="centerContinuous"/>
    </xf>
    <xf numFmtId="0" fontId="30" fillId="0" borderId="0" xfId="0" applyFont="1" applyBorder="1" applyAlignment="1">
      <alignment horizontal="centerContinuous"/>
    </xf>
    <xf numFmtId="0" fontId="30" fillId="0" borderId="23" xfId="0" quotePrefix="1" applyFont="1" applyBorder="1" applyAlignment="1">
      <alignment horizontal="centerContinuous"/>
    </xf>
    <xf numFmtId="0" fontId="30" fillId="0" borderId="0" xfId="0" quotePrefix="1" applyFont="1" applyAlignment="1">
      <alignment horizontal="centerContinuous"/>
    </xf>
    <xf numFmtId="0" fontId="47" fillId="0" borderId="0" xfId="0" applyFont="1" applyAlignment="1">
      <alignment horizontal="centerContinuous"/>
    </xf>
    <xf numFmtId="170" fontId="0" fillId="0" borderId="0" xfId="85" applyNumberFormat="1" applyFont="1" applyFill="1"/>
    <xf numFmtId="170" fontId="0" fillId="0" borderId="23" xfId="85" applyNumberFormat="1" applyFont="1" applyFill="1" applyBorder="1"/>
    <xf numFmtId="170" fontId="0" fillId="0" borderId="0" xfId="85" applyNumberFormat="1" applyFont="1" applyFill="1" applyBorder="1"/>
    <xf numFmtId="170" fontId="0" fillId="0" borderId="0" xfId="0" applyNumberFormat="1" applyFill="1"/>
    <xf numFmtId="170" fontId="0" fillId="0" borderId="40" xfId="0" applyNumberFormat="1" applyFill="1" applyBorder="1"/>
    <xf numFmtId="0" fontId="57" fillId="0" borderId="0" xfId="126" applyFont="1" applyFill="1"/>
    <xf numFmtId="0" fontId="29" fillId="0" borderId="0" xfId="99" applyNumberFormat="1" applyFont="1" applyFill="1" applyBorder="1" applyAlignment="1" applyProtection="1">
      <alignment horizontal="center"/>
    </xf>
    <xf numFmtId="0" fontId="58" fillId="0" borderId="0" xfId="126" applyFont="1" applyFill="1"/>
    <xf numFmtId="38" fontId="59" fillId="0" borderId="22" xfId="129" applyNumberFormat="1" applyFont="1" applyFill="1" applyBorder="1"/>
    <xf numFmtId="38" fontId="57" fillId="0" borderId="22" xfId="126" quotePrefix="1" applyNumberFormat="1" applyFont="1" applyFill="1" applyBorder="1"/>
    <xf numFmtId="0" fontId="57" fillId="0" borderId="0" xfId="126" applyFont="1" applyFill="1" applyAlignment="1">
      <alignment horizontal="left" indent="2"/>
    </xf>
    <xf numFmtId="0" fontId="57" fillId="0" borderId="0" xfId="126" applyFont="1" applyFill="1" applyAlignment="1">
      <alignment horizontal="left" indent="4"/>
    </xf>
    <xf numFmtId="40" fontId="60" fillId="0" borderId="0" xfId="126" applyNumberFormat="1" applyFont="1" applyFill="1"/>
    <xf numFmtId="38" fontId="57" fillId="0" borderId="0" xfId="126" applyNumberFormat="1" applyFont="1" applyFill="1"/>
    <xf numFmtId="0" fontId="57" fillId="0" borderId="0" xfId="126" applyFont="1" applyFill="1" applyAlignment="1">
      <alignment horizontal="left"/>
    </xf>
    <xf numFmtId="0" fontId="29" fillId="0" borderId="0" xfId="126" applyNumberFormat="1" applyFont="1" applyFill="1" applyBorder="1" applyAlignment="1" applyProtection="1">
      <alignment horizontal="center"/>
    </xf>
    <xf numFmtId="0" fontId="29" fillId="0" borderId="0" xfId="126" applyNumberFormat="1" applyFont="1" applyFill="1" applyBorder="1" applyAlignment="1" applyProtection="1"/>
    <xf numFmtId="174" fontId="60" fillId="0" borderId="0" xfId="126" applyNumberFormat="1" applyFont="1" applyFill="1"/>
    <xf numFmtId="0" fontId="29" fillId="0" borderId="0" xfId="126" applyNumberFormat="1" applyFont="1" applyFill="1" applyBorder="1" applyAlignment="1" applyProtection="1">
      <alignment horizontal="left" indent="2"/>
    </xf>
    <xf numFmtId="38" fontId="57" fillId="0" borderId="22" xfId="126" applyNumberFormat="1" applyFont="1" applyFill="1" applyBorder="1"/>
    <xf numFmtId="0" fontId="57" fillId="0" borderId="0" xfId="126" applyFont="1" applyFill="1" applyBorder="1"/>
    <xf numFmtId="0" fontId="2" fillId="0" borderId="0" xfId="126" applyFont="1" applyFill="1" applyBorder="1"/>
    <xf numFmtId="0" fontId="4" fillId="0" borderId="0" xfId="100" applyFont="1" applyFill="1" applyBorder="1" applyAlignment="1">
      <alignment horizontal="center"/>
    </xf>
    <xf numFmtId="0" fontId="4" fillId="0" borderId="20" xfId="100" applyFont="1" applyFill="1" applyBorder="1" applyAlignment="1">
      <alignment horizontal="center"/>
    </xf>
    <xf numFmtId="166" fontId="4" fillId="0" borderId="23" xfId="29" applyNumberFormat="1" applyFont="1" applyFill="1" applyBorder="1"/>
    <xf numFmtId="166" fontId="6" fillId="0" borderId="0" xfId="29" applyNumberFormat="1" applyFont="1" applyFill="1" applyBorder="1"/>
    <xf numFmtId="7" fontId="4" fillId="0" borderId="0" xfId="29" applyNumberFormat="1" applyFont="1" applyFill="1" applyBorder="1"/>
    <xf numFmtId="7" fontId="4" fillId="0" borderId="23" xfId="29" applyNumberFormat="1" applyFont="1" applyFill="1" applyBorder="1"/>
    <xf numFmtId="0" fontId="5" fillId="0" borderId="0" xfId="100" applyFont="1" applyFill="1"/>
    <xf numFmtId="0" fontId="2" fillId="0" borderId="0" xfId="100" applyFill="1"/>
    <xf numFmtId="0" fontId="4" fillId="0" borderId="0" xfId="100" applyFont="1" applyFill="1" applyAlignment="1">
      <alignment horizontal="center"/>
    </xf>
    <xf numFmtId="0" fontId="5" fillId="0" borderId="21" xfId="100" applyFont="1" applyFill="1" applyBorder="1" applyAlignment="1">
      <alignment horizontal="left"/>
    </xf>
    <xf numFmtId="0" fontId="5" fillId="0" borderId="22" xfId="100" applyFont="1" applyFill="1" applyBorder="1" applyAlignment="1">
      <alignment horizontal="left"/>
    </xf>
    <xf numFmtId="0" fontId="2" fillId="0" borderId="0" xfId="100" applyFont="1" applyFill="1" applyBorder="1" applyAlignment="1">
      <alignment horizontal="left"/>
    </xf>
    <xf numFmtId="0" fontId="2" fillId="0" borderId="0" xfId="100" applyFill="1" applyBorder="1"/>
    <xf numFmtId="170" fontId="51" fillId="0" borderId="22" xfId="87" applyNumberFormat="1" applyFont="1" applyFill="1" applyBorder="1"/>
    <xf numFmtId="171" fontId="51" fillId="0" borderId="22" xfId="87" applyNumberFormat="1" applyFont="1" applyFill="1" applyBorder="1"/>
    <xf numFmtId="171" fontId="51" fillId="0" borderId="42" xfId="87" applyNumberFormat="1" applyFont="1" applyFill="1" applyBorder="1"/>
    <xf numFmtId="167" fontId="4" fillId="0" borderId="27" xfId="51" applyFont="1" applyFill="1" applyBorder="1" applyAlignment="1">
      <alignment horizontal="center"/>
    </xf>
    <xf numFmtId="167" fontId="4" fillId="0" borderId="30" xfId="51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/>
    </xf>
    <xf numFmtId="0" fontId="4" fillId="0" borderId="30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4" fillId="0" borderId="34" xfId="0" applyFont="1" applyFill="1" applyBorder="1" applyAlignment="1">
      <alignment horizontal="center"/>
    </xf>
    <xf numFmtId="167" fontId="4" fillId="0" borderId="28" xfId="52" applyFont="1" applyFill="1" applyBorder="1" applyAlignment="1">
      <alignment horizontal="center"/>
    </xf>
    <xf numFmtId="167" fontId="4" fillId="0" borderId="28" xfId="52" quotePrefix="1" applyFont="1" applyFill="1" applyBorder="1" applyAlignment="1">
      <alignment horizontal="center"/>
    </xf>
    <xf numFmtId="167" fontId="4" fillId="0" borderId="34" xfId="52" applyFont="1" applyFill="1" applyBorder="1" applyAlignment="1">
      <alignment horizontal="center"/>
    </xf>
    <xf numFmtId="167" fontId="4" fillId="0" borderId="29" xfId="52" applyFont="1" applyFill="1" applyBorder="1" applyAlignment="1">
      <alignment horizontal="center"/>
    </xf>
    <xf numFmtId="0" fontId="4" fillId="0" borderId="35" xfId="0" applyFont="1" applyFill="1" applyBorder="1" applyAlignment="1">
      <alignment horizontal="center"/>
    </xf>
    <xf numFmtId="167" fontId="4" fillId="0" borderId="35" xfId="52" applyFont="1" applyFill="1" applyBorder="1" applyAlignment="1">
      <alignment horizontal="center"/>
    </xf>
    <xf numFmtId="166" fontId="4" fillId="0" borderId="28" xfId="29" applyNumberFormat="1" applyFont="1" applyFill="1" applyBorder="1"/>
    <xf numFmtId="165" fontId="4" fillId="0" borderId="34" xfId="55" applyNumberFormat="1" applyFont="1" applyFill="1" applyBorder="1"/>
    <xf numFmtId="43" fontId="4" fillId="0" borderId="34" xfId="29" applyNumberFormat="1" applyFont="1" applyFill="1" applyBorder="1"/>
    <xf numFmtId="9" fontId="4" fillId="0" borderId="28" xfId="55" applyFont="1" applyFill="1" applyBorder="1"/>
    <xf numFmtId="167" fontId="4" fillId="0" borderId="27" xfId="51" applyFont="1" applyFill="1" applyBorder="1" applyAlignment="1">
      <alignment horizontal="left"/>
    </xf>
    <xf numFmtId="0" fontId="0" fillId="0" borderId="38" xfId="0" applyFill="1" applyBorder="1"/>
    <xf numFmtId="167" fontId="4" fillId="0" borderId="38" xfId="51" applyFont="1" applyFill="1" applyBorder="1" applyAlignment="1">
      <alignment horizontal="left"/>
    </xf>
    <xf numFmtId="167" fontId="4" fillId="0" borderId="30" xfId="51" applyFont="1" applyFill="1" applyBorder="1" applyAlignment="1">
      <alignment horizontal="left"/>
    </xf>
    <xf numFmtId="0" fontId="0" fillId="0" borderId="28" xfId="0" applyFill="1" applyBorder="1"/>
    <xf numFmtId="0" fontId="4" fillId="0" borderId="0" xfId="0" applyFont="1" applyFill="1" applyAlignment="1">
      <alignment horizontal="center"/>
    </xf>
    <xf numFmtId="0" fontId="5" fillId="0" borderId="34" xfId="0" applyFont="1" applyFill="1" applyBorder="1"/>
    <xf numFmtId="0" fontId="4" fillId="0" borderId="29" xfId="0" applyFont="1" applyFill="1" applyBorder="1" applyAlignment="1">
      <alignment horizontal="center"/>
    </xf>
    <xf numFmtId="167" fontId="4" fillId="0" borderId="27" xfId="52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167" fontId="4" fillId="0" borderId="30" xfId="52" applyFont="1" applyFill="1" applyBorder="1" applyAlignment="1">
      <alignment horizontal="center"/>
    </xf>
    <xf numFmtId="9" fontId="0" fillId="0" borderId="0" xfId="55" applyNumberFormat="1" applyFont="1" applyFill="1" applyBorder="1"/>
    <xf numFmtId="9" fontId="0" fillId="0" borderId="0" xfId="0" applyNumberFormat="1" applyFill="1"/>
    <xf numFmtId="167" fontId="4" fillId="0" borderId="32" xfId="52" applyFont="1" applyFill="1" applyBorder="1" applyAlignment="1">
      <alignment horizontal="center"/>
    </xf>
    <xf numFmtId="9" fontId="4" fillId="0" borderId="29" xfId="55" applyFont="1" applyFill="1" applyBorder="1"/>
    <xf numFmtId="43" fontId="4" fillId="0" borderId="35" xfId="29" applyNumberFormat="1" applyFont="1" applyFill="1" applyBorder="1"/>
    <xf numFmtId="167" fontId="4" fillId="0" borderId="33" xfId="52" applyFont="1" applyFill="1" applyBorder="1" applyAlignment="1">
      <alignment horizontal="center"/>
    </xf>
    <xf numFmtId="0" fontId="57" fillId="0" borderId="22" xfId="126" applyFill="1" applyBorder="1"/>
    <xf numFmtId="171" fontId="51" fillId="0" borderId="36" xfId="87" applyNumberFormat="1" applyFont="1" applyBorder="1"/>
    <xf numFmtId="171" fontId="51" fillId="0" borderId="40" xfId="87" applyNumberFormat="1" applyFont="1" applyBorder="1"/>
    <xf numFmtId="170" fontId="51" fillId="0" borderId="0" xfId="87" applyNumberFormat="1" applyFont="1" applyFill="1" applyBorder="1"/>
    <xf numFmtId="171" fontId="51" fillId="0" borderId="0" xfId="87" applyNumberFormat="1" applyFont="1" applyFill="1" applyBorder="1"/>
    <xf numFmtId="0" fontId="1" fillId="0" borderId="0" xfId="131"/>
    <xf numFmtId="0" fontId="69" fillId="0" borderId="0" xfId="131" quotePrefix="1" applyFont="1" applyAlignment="1">
      <alignment horizontal="center"/>
    </xf>
    <xf numFmtId="0" fontId="69" fillId="0" borderId="0" xfId="131" applyFont="1" applyAlignment="1">
      <alignment horizontal="center"/>
    </xf>
    <xf numFmtId="0" fontId="70" fillId="0" borderId="0" xfId="131" quotePrefix="1" applyFont="1" applyAlignment="1">
      <alignment horizontal="left"/>
    </xf>
    <xf numFmtId="0" fontId="1" fillId="0" borderId="43" xfId="101" applyFont="1" applyBorder="1" applyAlignment="1">
      <alignment horizontal="center" vertical="center" wrapText="1"/>
    </xf>
    <xf numFmtId="0" fontId="1" fillId="0" borderId="33" xfId="101" applyFont="1" applyBorder="1" applyAlignment="1">
      <alignment horizontal="center" vertical="center" wrapText="1"/>
    </xf>
    <xf numFmtId="0" fontId="1" fillId="0" borderId="35" xfId="101" applyFont="1" applyBorder="1" applyAlignment="1">
      <alignment horizontal="center" vertical="center" wrapText="1"/>
    </xf>
    <xf numFmtId="0" fontId="1" fillId="0" borderId="33" xfId="101" applyFont="1" applyBorder="1" applyAlignment="1">
      <alignment horizontal="left" vertical="center" wrapText="1"/>
    </xf>
    <xf numFmtId="165" fontId="1" fillId="0" borderId="35" xfId="56" applyNumberFormat="1" applyFont="1" applyBorder="1" applyAlignment="1">
      <alignment horizontal="center" vertical="center" wrapText="1"/>
    </xf>
    <xf numFmtId="165" fontId="0" fillId="0" borderId="35" xfId="56" applyNumberFormat="1" applyFont="1" applyBorder="1" applyAlignment="1">
      <alignment horizontal="center" vertical="center" wrapText="1"/>
    </xf>
    <xf numFmtId="164" fontId="1" fillId="0" borderId="35" xfId="132" applyNumberFormat="1" applyFont="1" applyBorder="1" applyAlignment="1">
      <alignment horizontal="center" vertical="center" wrapText="1"/>
    </xf>
    <xf numFmtId="164" fontId="1" fillId="0" borderId="46" xfId="132" applyNumberFormat="1" applyFont="1" applyBorder="1" applyAlignment="1">
      <alignment horizontal="center" vertical="center" wrapText="1"/>
    </xf>
    <xf numFmtId="164" fontId="1" fillId="0" borderId="35" xfId="132" applyNumberFormat="1" applyFont="1" applyFill="1" applyBorder="1" applyAlignment="1">
      <alignment horizontal="center" vertical="center" wrapText="1"/>
    </xf>
    <xf numFmtId="0" fontId="71" fillId="0" borderId="46" xfId="101" applyFont="1" applyFill="1" applyBorder="1" applyAlignment="1">
      <alignment horizontal="center" vertical="center" wrapText="1"/>
    </xf>
    <xf numFmtId="0" fontId="71" fillId="0" borderId="45" xfId="101" applyFont="1" applyFill="1" applyBorder="1" applyAlignment="1">
      <alignment horizontal="center" vertical="center" wrapText="1"/>
    </xf>
    <xf numFmtId="164" fontId="71" fillId="0" borderId="35" xfId="132" applyNumberFormat="1" applyFont="1" applyBorder="1" applyAlignment="1">
      <alignment horizontal="center" vertical="center" wrapText="1"/>
    </xf>
    <xf numFmtId="164" fontId="71" fillId="0" borderId="35" xfId="132" applyNumberFormat="1" applyFont="1" applyFill="1" applyBorder="1" applyAlignment="1">
      <alignment horizontal="center" vertical="center" wrapText="1"/>
    </xf>
    <xf numFmtId="165" fontId="1" fillId="0" borderId="0" xfId="55" applyNumberFormat="1" applyFont="1"/>
    <xf numFmtId="0" fontId="1" fillId="0" borderId="31" xfId="131" applyBorder="1"/>
    <xf numFmtId="0" fontId="1" fillId="0" borderId="33" xfId="131" applyBorder="1" applyAlignment="1">
      <alignment horizontal="center"/>
    </xf>
    <xf numFmtId="178" fontId="1" fillId="0" borderId="31" xfId="55" applyNumberFormat="1" applyFont="1" applyBorder="1" applyAlignment="1">
      <alignment horizontal="center"/>
    </xf>
    <xf numFmtId="178" fontId="1" fillId="0" borderId="46" xfId="55" applyNumberFormat="1" applyFont="1" applyBorder="1" applyAlignment="1">
      <alignment horizontal="center"/>
    </xf>
    <xf numFmtId="167" fontId="4" fillId="0" borderId="0" xfId="51" applyFont="1" applyFill="1" applyAlignment="1">
      <alignment horizontal="center"/>
    </xf>
    <xf numFmtId="167" fontId="4" fillId="0" borderId="28" xfId="51" applyFont="1" applyFill="1" applyBorder="1" applyAlignment="1">
      <alignment horizontal="center"/>
    </xf>
    <xf numFmtId="167" fontId="4" fillId="0" borderId="34" xfId="51" applyFont="1" applyFill="1" applyBorder="1" applyAlignment="1">
      <alignment horizontal="center"/>
    </xf>
    <xf numFmtId="167" fontId="4" fillId="0" borderId="38" xfId="51" applyFont="1" applyFill="1" applyBorder="1" applyAlignment="1">
      <alignment horizontal="center"/>
    </xf>
    <xf numFmtId="0" fontId="0" fillId="0" borderId="0" xfId="0" applyFill="1" applyBorder="1"/>
    <xf numFmtId="0" fontId="4" fillId="0" borderId="0" xfId="0" applyFont="1" applyFill="1" applyBorder="1"/>
    <xf numFmtId="166" fontId="4" fillId="0" borderId="28" xfId="55" applyNumberFormat="1" applyFont="1" applyFill="1" applyBorder="1"/>
    <xf numFmtId="165" fontId="4" fillId="0" borderId="0" xfId="55" applyNumberFormat="1" applyFont="1" applyFill="1" applyBorder="1"/>
    <xf numFmtId="43" fontId="4" fillId="0" borderId="0" xfId="29" applyNumberFormat="1" applyFont="1" applyFill="1" applyBorder="1"/>
    <xf numFmtId="0" fontId="4" fillId="0" borderId="20" xfId="0" applyFont="1" applyFill="1" applyBorder="1"/>
    <xf numFmtId="165" fontId="4" fillId="0" borderId="35" xfId="55" applyNumberFormat="1" applyFont="1" applyFill="1" applyBorder="1"/>
    <xf numFmtId="43" fontId="4" fillId="0" borderId="20" xfId="29" applyNumberFormat="1" applyFont="1" applyFill="1" applyBorder="1"/>
    <xf numFmtId="0" fontId="5" fillId="0" borderId="0" xfId="0" applyFont="1" applyFill="1" applyBorder="1"/>
    <xf numFmtId="10" fontId="5" fillId="0" borderId="0" xfId="0" applyNumberFormat="1" applyFont="1" applyFill="1" applyBorder="1"/>
    <xf numFmtId="0" fontId="30" fillId="0" borderId="0" xfId="0" applyFont="1" applyFill="1" applyBorder="1"/>
    <xf numFmtId="0" fontId="4" fillId="0" borderId="0" xfId="0" applyFont="1" applyFill="1"/>
    <xf numFmtId="9" fontId="0" fillId="0" borderId="0" xfId="0" applyNumberFormat="1" applyFill="1" applyBorder="1"/>
    <xf numFmtId="0" fontId="2" fillId="0" borderId="0" xfId="0" applyFont="1" applyFill="1"/>
    <xf numFmtId="0" fontId="31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9" fontId="32" fillId="0" borderId="0" xfId="55" applyNumberFormat="1" applyFont="1" applyFill="1" applyBorder="1"/>
    <xf numFmtId="9" fontId="32" fillId="0" borderId="0" xfId="55" applyFont="1" applyFill="1" applyBorder="1"/>
    <xf numFmtId="165" fontId="30" fillId="0" borderId="0" xfId="55" applyNumberFormat="1" applyFont="1" applyFill="1" applyBorder="1"/>
    <xf numFmtId="0" fontId="0" fillId="0" borderId="0" xfId="0" quotePrefix="1" applyFill="1" applyBorder="1"/>
    <xf numFmtId="0" fontId="33" fillId="0" borderId="0" xfId="0" applyFont="1" applyFill="1" applyBorder="1"/>
    <xf numFmtId="0" fontId="31" fillId="0" borderId="0" xfId="0" applyFont="1" applyFill="1" applyBorder="1"/>
    <xf numFmtId="0" fontId="0" fillId="0" borderId="0" xfId="0" quotePrefix="1" applyFill="1"/>
    <xf numFmtId="0" fontId="57" fillId="0" borderId="0" xfId="126" applyFill="1"/>
    <xf numFmtId="173" fontId="0" fillId="0" borderId="0" xfId="127" applyNumberFormat="1" applyFont="1" applyFill="1"/>
    <xf numFmtId="0" fontId="57" fillId="0" borderId="0" xfId="126" applyFont="1" applyFill="1" applyAlignment="1">
      <alignment horizontal="center"/>
    </xf>
    <xf numFmtId="0" fontId="57" fillId="0" borderId="23" xfId="128" applyFont="1" applyFill="1" applyBorder="1" applyAlignment="1">
      <alignment horizontal="center"/>
    </xf>
    <xf numFmtId="0" fontId="57" fillId="0" borderId="23" xfId="126" applyFill="1" applyBorder="1"/>
    <xf numFmtId="0" fontId="57" fillId="0" borderId="47" xfId="126" applyFont="1" applyFill="1" applyBorder="1" applyAlignment="1">
      <alignment horizontal="center"/>
    </xf>
    <xf numFmtId="0" fontId="57" fillId="0" borderId="47" xfId="126" applyFill="1" applyBorder="1" applyAlignment="1">
      <alignment horizontal="center"/>
    </xf>
    <xf numFmtId="0" fontId="57" fillId="0" borderId="48" xfId="126" applyFill="1" applyBorder="1" applyAlignment="1">
      <alignment horizontal="center"/>
    </xf>
    <xf numFmtId="0" fontId="57" fillId="0" borderId="26" xfId="126" applyFill="1" applyBorder="1"/>
    <xf numFmtId="38" fontId="59" fillId="0" borderId="0" xfId="129" applyNumberFormat="1" applyFont="1" applyFill="1"/>
    <xf numFmtId="38" fontId="57" fillId="0" borderId="0" xfId="126" applyNumberFormat="1" applyFill="1"/>
    <xf numFmtId="38" fontId="57" fillId="0" borderId="22" xfId="126" applyNumberFormat="1" applyFill="1" applyBorder="1"/>
    <xf numFmtId="0" fontId="2" fillId="0" borderId="0" xfId="126" applyFont="1" applyFill="1"/>
    <xf numFmtId="164" fontId="0" fillId="0" borderId="22" xfId="129" applyNumberFormat="1" applyFont="1" applyFill="1" applyBorder="1"/>
    <xf numFmtId="0" fontId="1" fillId="0" borderId="0" xfId="131" applyFill="1"/>
    <xf numFmtId="0" fontId="61" fillId="0" borderId="0" xfId="100" applyFont="1" applyFill="1" applyAlignment="1">
      <alignment horizontal="center"/>
    </xf>
    <xf numFmtId="0" fontId="30" fillId="0" borderId="27" xfId="100" applyFont="1" applyFill="1" applyBorder="1"/>
    <xf numFmtId="0" fontId="2" fillId="0" borderId="30" xfId="100" applyFill="1" applyBorder="1"/>
    <xf numFmtId="0" fontId="4" fillId="0" borderId="0" xfId="100" applyFont="1" applyFill="1" applyBorder="1"/>
    <xf numFmtId="165" fontId="7" fillId="0" borderId="0" xfId="55" applyNumberFormat="1" applyFont="1" applyFill="1" applyBorder="1"/>
    <xf numFmtId="0" fontId="2" fillId="0" borderId="28" xfId="100" applyFill="1" applyBorder="1"/>
    <xf numFmtId="0" fontId="2" fillId="0" borderId="34" xfId="100" applyFill="1" applyBorder="1"/>
    <xf numFmtId="0" fontId="4" fillId="0" borderId="0" xfId="100" applyFont="1" applyFill="1" applyBorder="1" applyAlignment="1">
      <alignment horizontal="right"/>
    </xf>
    <xf numFmtId="9" fontId="2" fillId="0" borderId="28" xfId="55" applyFont="1" applyFill="1" applyBorder="1"/>
    <xf numFmtId="165" fontId="2" fillId="0" borderId="34" xfId="55" applyNumberFormat="1" applyFont="1" applyFill="1" applyBorder="1"/>
    <xf numFmtId="9" fontId="2" fillId="0" borderId="28" xfId="55" applyFont="1" applyFill="1" applyBorder="1" applyAlignment="1">
      <alignment horizontal="right"/>
    </xf>
    <xf numFmtId="166" fontId="2" fillId="0" borderId="34" xfId="100" applyNumberFormat="1" applyFill="1" applyBorder="1"/>
    <xf numFmtId="175" fontId="5" fillId="0" borderId="0" xfId="100" applyNumberFormat="1" applyFont="1" applyFill="1"/>
    <xf numFmtId="166" fontId="31" fillId="0" borderId="34" xfId="100" applyNumberFormat="1" applyFont="1" applyFill="1" applyBorder="1"/>
    <xf numFmtId="166" fontId="61" fillId="0" borderId="0" xfId="100" applyNumberFormat="1" applyFont="1" applyFill="1"/>
    <xf numFmtId="165" fontId="2" fillId="0" borderId="28" xfId="55" applyNumberFormat="1" applyFont="1" applyFill="1" applyBorder="1" applyAlignment="1">
      <alignment horizontal="right"/>
    </xf>
    <xf numFmtId="0" fontId="61" fillId="0" borderId="0" xfId="100" applyFont="1" applyFill="1"/>
    <xf numFmtId="176" fontId="4" fillId="0" borderId="0" xfId="29" applyNumberFormat="1" applyFont="1" applyFill="1" applyBorder="1"/>
    <xf numFmtId="0" fontId="2" fillId="0" borderId="28" xfId="100" applyFont="1" applyFill="1" applyBorder="1"/>
    <xf numFmtId="9" fontId="2" fillId="0" borderId="34" xfId="100" applyNumberFormat="1" applyFill="1" applyBorder="1"/>
    <xf numFmtId="9" fontId="31" fillId="0" borderId="34" xfId="100" applyNumberFormat="1" applyFont="1" applyFill="1" applyBorder="1"/>
    <xf numFmtId="9" fontId="2" fillId="0" borderId="34" xfId="55" applyFont="1" applyFill="1" applyBorder="1"/>
    <xf numFmtId="9" fontId="2" fillId="0" borderId="29" xfId="55" applyFont="1" applyFill="1" applyBorder="1" applyAlignment="1">
      <alignment horizontal="right"/>
    </xf>
    <xf numFmtId="165" fontId="2" fillId="0" borderId="35" xfId="55" applyNumberFormat="1" applyFont="1" applyFill="1" applyBorder="1"/>
    <xf numFmtId="164" fontId="4" fillId="0" borderId="0" xfId="100" applyNumberFormat="1" applyFont="1" applyFill="1"/>
    <xf numFmtId="0" fontId="4" fillId="0" borderId="30" xfId="100" applyFont="1" applyFill="1" applyBorder="1" applyAlignment="1">
      <alignment horizontal="center"/>
    </xf>
    <xf numFmtId="0" fontId="4" fillId="0" borderId="28" xfId="100" applyFont="1" applyFill="1" applyBorder="1" applyAlignment="1">
      <alignment horizontal="center"/>
    </xf>
    <xf numFmtId="0" fontId="4" fillId="0" borderId="34" xfId="100" applyFont="1" applyFill="1" applyBorder="1" applyAlignment="1">
      <alignment horizontal="center"/>
    </xf>
    <xf numFmtId="167" fontId="4" fillId="0" borderId="34" xfId="52" quotePrefix="1" applyFont="1" applyFill="1" applyBorder="1" applyAlignment="1">
      <alignment horizontal="center"/>
    </xf>
    <xf numFmtId="0" fontId="4" fillId="0" borderId="29" xfId="100" applyFont="1" applyFill="1" applyBorder="1" applyAlignment="1">
      <alignment horizontal="center"/>
    </xf>
    <xf numFmtId="0" fontId="4" fillId="0" borderId="35" xfId="100" applyFont="1" applyFill="1" applyBorder="1" applyAlignment="1">
      <alignment horizontal="center"/>
    </xf>
    <xf numFmtId="0" fontId="4" fillId="0" borderId="28" xfId="100" applyFont="1" applyFill="1" applyBorder="1"/>
    <xf numFmtId="0" fontId="4" fillId="0" borderId="28" xfId="100" applyFont="1" applyFill="1" applyBorder="1" applyAlignment="1">
      <alignment horizontal="right"/>
    </xf>
    <xf numFmtId="166" fontId="4" fillId="0" borderId="34" xfId="29" applyNumberFormat="1" applyFont="1" applyFill="1" applyBorder="1"/>
    <xf numFmtId="168" fontId="4" fillId="0" borderId="0" xfId="100" applyNumberFormat="1" applyFont="1" applyFill="1"/>
    <xf numFmtId="168" fontId="5" fillId="0" borderId="0" xfId="100" applyNumberFormat="1" applyFont="1" applyFill="1"/>
    <xf numFmtId="168" fontId="4" fillId="0" borderId="0" xfId="100" applyNumberFormat="1" applyFont="1" applyFill="1" applyBorder="1"/>
    <xf numFmtId="164" fontId="2" fillId="0" borderId="0" xfId="100" applyNumberFormat="1" applyFill="1"/>
    <xf numFmtId="168" fontId="4" fillId="0" borderId="23" xfId="100" applyNumberFormat="1" applyFont="1" applyFill="1" applyBorder="1"/>
    <xf numFmtId="0" fontId="2" fillId="0" borderId="23" xfId="100" applyFill="1" applyBorder="1"/>
    <xf numFmtId="164" fontId="5" fillId="0" borderId="0" xfId="100" applyNumberFormat="1" applyFont="1" applyFill="1"/>
    <xf numFmtId="166" fontId="4" fillId="0" borderId="37" xfId="29" applyNumberFormat="1" applyFont="1" applyFill="1" applyBorder="1"/>
    <xf numFmtId="166" fontId="5" fillId="0" borderId="0" xfId="100" applyNumberFormat="1" applyFont="1" applyFill="1"/>
    <xf numFmtId="169" fontId="4" fillId="0" borderId="37" xfId="29" applyNumberFormat="1" applyFont="1" applyFill="1" applyBorder="1"/>
    <xf numFmtId="0" fontId="5" fillId="0" borderId="0" xfId="100" applyFont="1" applyFill="1" applyBorder="1" applyAlignment="1">
      <alignment horizontal="right"/>
    </xf>
    <xf numFmtId="0" fontId="4" fillId="0" borderId="28" xfId="49" applyFont="1" applyFill="1" applyBorder="1" applyAlignment="1">
      <alignment horizontal="right"/>
    </xf>
    <xf numFmtId="0" fontId="60" fillId="0" borderId="0" xfId="100" applyFont="1" applyFill="1" applyBorder="1"/>
    <xf numFmtId="168" fontId="60" fillId="0" borderId="0" xfId="100" applyNumberFormat="1" applyFont="1" applyFill="1" applyBorder="1"/>
    <xf numFmtId="166" fontId="2" fillId="0" borderId="37" xfId="100" applyNumberFormat="1" applyFont="1" applyFill="1" applyBorder="1"/>
    <xf numFmtId="7" fontId="60" fillId="0" borderId="0" xfId="100" applyNumberFormat="1" applyFont="1" applyFill="1" applyBorder="1"/>
    <xf numFmtId="3" fontId="4" fillId="0" borderId="0" xfId="29" applyNumberFormat="1" applyFont="1" applyFill="1" applyBorder="1"/>
    <xf numFmtId="164" fontId="60" fillId="0" borderId="0" xfId="29" applyNumberFormat="1" applyFont="1" applyFill="1" applyBorder="1"/>
    <xf numFmtId="166" fontId="2" fillId="0" borderId="37" xfId="100" applyNumberFormat="1" applyFill="1" applyBorder="1"/>
    <xf numFmtId="3" fontId="4" fillId="0" borderId="0" xfId="100" applyNumberFormat="1" applyFont="1" applyFill="1" applyBorder="1"/>
    <xf numFmtId="0" fontId="4" fillId="0" borderId="23" xfId="100" applyFont="1" applyFill="1" applyBorder="1"/>
    <xf numFmtId="0" fontId="5" fillId="0" borderId="28" xfId="100" applyFont="1" applyFill="1" applyBorder="1" applyAlignment="1">
      <alignment horizontal="right"/>
    </xf>
    <xf numFmtId="166" fontId="6" fillId="0" borderId="34" xfId="29" applyNumberFormat="1" applyFont="1" applyFill="1" applyBorder="1"/>
    <xf numFmtId="0" fontId="5" fillId="0" borderId="0" xfId="100" applyFont="1" applyFill="1" applyBorder="1"/>
    <xf numFmtId="38" fontId="63" fillId="0" borderId="22" xfId="100" quotePrefix="1" applyNumberFormat="1" applyFont="1" applyFill="1" applyBorder="1"/>
    <xf numFmtId="40" fontId="60" fillId="0" borderId="0" xfId="130" applyNumberFormat="1" applyFont="1" applyFill="1" applyBorder="1"/>
    <xf numFmtId="166" fontId="30" fillId="0" borderId="34" xfId="100" applyNumberFormat="1" applyFont="1" applyFill="1" applyBorder="1"/>
    <xf numFmtId="172" fontId="4" fillId="0" borderId="0" xfId="29" applyNumberFormat="1" applyFont="1" applyFill="1" applyBorder="1"/>
    <xf numFmtId="0" fontId="41" fillId="0" borderId="0" xfId="100" applyFont="1" applyFill="1" applyBorder="1" applyAlignment="1">
      <alignment horizontal="right"/>
    </xf>
    <xf numFmtId="164" fontId="64" fillId="0" borderId="0" xfId="29" applyNumberFormat="1" applyFont="1" applyFill="1" applyBorder="1"/>
    <xf numFmtId="164" fontId="2" fillId="0" borderId="34" xfId="100" applyNumberFormat="1" applyFill="1" applyBorder="1"/>
    <xf numFmtId="44" fontId="0" fillId="0" borderId="0" xfId="97" applyFont="1" applyFill="1"/>
    <xf numFmtId="168" fontId="0" fillId="0" borderId="0" xfId="97" applyNumberFormat="1" applyFont="1" applyFill="1"/>
    <xf numFmtId="170" fontId="0" fillId="0" borderId="0" xfId="97" applyNumberFormat="1" applyFont="1" applyFill="1"/>
    <xf numFmtId="164" fontId="2" fillId="0" borderId="37" xfId="100" applyNumberFormat="1" applyFill="1" applyBorder="1"/>
    <xf numFmtId="170" fontId="34" fillId="0" borderId="0" xfId="97" applyNumberFormat="1" applyFont="1" applyFill="1"/>
    <xf numFmtId="170" fontId="30" fillId="0" borderId="0" xfId="97" applyNumberFormat="1" applyFont="1" applyFill="1" applyBorder="1"/>
    <xf numFmtId="5" fontId="4" fillId="0" borderId="34" xfId="29" applyNumberFormat="1" applyFont="1" applyFill="1" applyBorder="1"/>
    <xf numFmtId="164" fontId="4" fillId="0" borderId="0" xfId="29" applyNumberFormat="1" applyFont="1" applyFill="1"/>
    <xf numFmtId="43" fontId="2" fillId="0" borderId="0" xfId="100" applyNumberFormat="1" applyFill="1"/>
    <xf numFmtId="164" fontId="2" fillId="0" borderId="24" xfId="100" applyNumberFormat="1" applyFont="1" applyFill="1" applyBorder="1"/>
    <xf numFmtId="164" fontId="2" fillId="0" borderId="0" xfId="100" applyNumberFormat="1" applyFont="1" applyFill="1" applyBorder="1"/>
    <xf numFmtId="164" fontId="34" fillId="0" borderId="25" xfId="100" applyNumberFormat="1" applyFont="1" applyFill="1" applyBorder="1"/>
    <xf numFmtId="164" fontId="34" fillId="0" borderId="0" xfId="100" applyNumberFormat="1" applyFont="1" applyFill="1" applyBorder="1"/>
    <xf numFmtId="164" fontId="2" fillId="0" borderId="25" xfId="100" applyNumberFormat="1" applyFont="1" applyFill="1" applyBorder="1"/>
    <xf numFmtId="0" fontId="2" fillId="0" borderId="22" xfId="100" applyFont="1" applyFill="1" applyBorder="1"/>
    <xf numFmtId="0" fontId="2" fillId="0" borderId="25" xfId="100" applyFont="1" applyFill="1" applyBorder="1"/>
    <xf numFmtId="0" fontId="2" fillId="0" borderId="0" xfId="100" applyFont="1" applyFill="1" applyBorder="1"/>
    <xf numFmtId="0" fontId="5" fillId="0" borderId="22" xfId="100" applyFont="1" applyFill="1" applyBorder="1"/>
    <xf numFmtId="164" fontId="2" fillId="0" borderId="25" xfId="29" applyNumberFormat="1" applyFont="1" applyFill="1" applyBorder="1"/>
    <xf numFmtId="164" fontId="2" fillId="0" borderId="0" xfId="29" applyNumberFormat="1" applyFont="1" applyFill="1" applyBorder="1"/>
    <xf numFmtId="164" fontId="34" fillId="0" borderId="25" xfId="29" applyNumberFormat="1" applyFont="1" applyFill="1" applyBorder="1"/>
    <xf numFmtId="164" fontId="34" fillId="0" borderId="0" xfId="29" applyNumberFormat="1" applyFont="1" applyFill="1" applyBorder="1"/>
    <xf numFmtId="0" fontId="5" fillId="0" borderId="26" xfId="100" applyFont="1" applyFill="1" applyBorder="1"/>
    <xf numFmtId="10" fontId="2" fillId="0" borderId="36" xfId="55" applyNumberFormat="1" applyFont="1" applyFill="1" applyBorder="1"/>
    <xf numFmtId="10" fontId="2" fillId="0" borderId="0" xfId="55" applyNumberFormat="1" applyFont="1" applyFill="1" applyBorder="1"/>
    <xf numFmtId="43" fontId="0" fillId="0" borderId="0" xfId="29" applyFont="1" applyFill="1"/>
    <xf numFmtId="0" fontId="30" fillId="0" borderId="0" xfId="100" applyFont="1" applyFill="1"/>
    <xf numFmtId="0" fontId="2" fillId="0" borderId="0" xfId="100" applyFont="1" applyFill="1"/>
    <xf numFmtId="177" fontId="60" fillId="0" borderId="0" xfId="100" applyNumberFormat="1" applyFont="1" applyFill="1" applyBorder="1"/>
    <xf numFmtId="165" fontId="5" fillId="0" borderId="0" xfId="55" applyNumberFormat="1" applyFont="1" applyFill="1" applyBorder="1"/>
    <xf numFmtId="0" fontId="5" fillId="0" borderId="28" xfId="100" applyFont="1" applyFill="1" applyBorder="1"/>
    <xf numFmtId="0" fontId="5" fillId="0" borderId="34" xfId="100" applyFont="1" applyFill="1" applyBorder="1"/>
    <xf numFmtId="166" fontId="4" fillId="0" borderId="34" xfId="100" applyNumberFormat="1" applyFont="1" applyFill="1" applyBorder="1"/>
    <xf numFmtId="166" fontId="2" fillId="0" borderId="0" xfId="100" applyNumberFormat="1" applyFill="1"/>
    <xf numFmtId="0" fontId="4" fillId="0" borderId="28" xfId="0" applyFont="1" applyFill="1" applyBorder="1" applyAlignment="1">
      <alignment horizontal="right"/>
    </xf>
    <xf numFmtId="7" fontId="64" fillId="0" borderId="0" xfId="29" applyNumberFormat="1" applyFont="1" applyFill="1" applyBorder="1"/>
    <xf numFmtId="168" fontId="64" fillId="0" borderId="0" xfId="29" applyNumberFormat="1" applyFont="1" applyFill="1" applyBorder="1"/>
    <xf numFmtId="0" fontId="63" fillId="0" borderId="0" xfId="100" applyFont="1" applyFill="1" applyBorder="1"/>
    <xf numFmtId="170" fontId="30" fillId="0" borderId="0" xfId="97" applyNumberFormat="1" applyFont="1" applyFill="1"/>
    <xf numFmtId="0" fontId="4" fillId="0" borderId="29" xfId="100" applyFont="1" applyFill="1" applyBorder="1" applyAlignment="1">
      <alignment horizontal="right"/>
    </xf>
    <xf numFmtId="165" fontId="5" fillId="0" borderId="20" xfId="55" applyNumberFormat="1" applyFont="1" applyFill="1" applyBorder="1"/>
    <xf numFmtId="0" fontId="5" fillId="0" borderId="20" xfId="100" applyFont="1" applyFill="1" applyBorder="1"/>
    <xf numFmtId="3" fontId="4" fillId="0" borderId="20" xfId="29" applyNumberFormat="1" applyFont="1" applyFill="1" applyBorder="1"/>
    <xf numFmtId="166" fontId="4" fillId="0" borderId="35" xfId="29" applyNumberFormat="1" applyFont="1" applyFill="1" applyBorder="1"/>
    <xf numFmtId="166" fontId="30" fillId="0" borderId="37" xfId="100" applyNumberFormat="1" applyFont="1" applyFill="1" applyBorder="1"/>
    <xf numFmtId="0" fontId="30" fillId="0" borderId="34" xfId="100" applyFont="1" applyFill="1" applyBorder="1"/>
    <xf numFmtId="5" fontId="30" fillId="0" borderId="34" xfId="100" applyNumberFormat="1" applyFont="1" applyFill="1" applyBorder="1"/>
    <xf numFmtId="5" fontId="30" fillId="0" borderId="37" xfId="100" applyNumberFormat="1" applyFont="1" applyFill="1" applyBorder="1"/>
    <xf numFmtId="0" fontId="4" fillId="0" borderId="29" xfId="0" applyFont="1" applyFill="1" applyBorder="1" applyAlignment="1">
      <alignment horizontal="right"/>
    </xf>
    <xf numFmtId="0" fontId="2" fillId="0" borderId="20" xfId="100" applyFill="1" applyBorder="1"/>
    <xf numFmtId="166" fontId="30" fillId="0" borderId="35" xfId="100" applyNumberFormat="1" applyFont="1" applyFill="1" applyBorder="1"/>
    <xf numFmtId="0" fontId="67" fillId="0" borderId="0" xfId="131" applyFont="1" applyAlignment="1">
      <alignment horizontal="center"/>
    </xf>
    <xf numFmtId="0" fontId="68" fillId="0" borderId="0" xfId="131" applyFont="1" applyAlignment="1">
      <alignment horizontal="center"/>
    </xf>
    <xf numFmtId="0" fontId="69" fillId="0" borderId="0" xfId="131" quotePrefix="1" applyFont="1" applyAlignment="1">
      <alignment horizontal="center"/>
    </xf>
    <xf numFmtId="0" fontId="71" fillId="0" borderId="43" xfId="131" applyFont="1" applyBorder="1" applyAlignment="1">
      <alignment horizontal="center"/>
    </xf>
    <xf numFmtId="0" fontId="71" fillId="0" borderId="44" xfId="131" applyFont="1" applyBorder="1" applyAlignment="1">
      <alignment horizontal="center"/>
    </xf>
    <xf numFmtId="0" fontId="71" fillId="0" borderId="45" xfId="131" applyFont="1" applyBorder="1" applyAlignment="1">
      <alignment horizontal="center"/>
    </xf>
    <xf numFmtId="0" fontId="71" fillId="0" borderId="43" xfId="131" applyFont="1" applyFill="1" applyBorder="1" applyAlignment="1">
      <alignment horizontal="center"/>
    </xf>
    <xf numFmtId="0" fontId="71" fillId="0" borderId="45" xfId="131" applyFont="1" applyFill="1" applyBorder="1" applyAlignment="1">
      <alignment horizontal="center"/>
    </xf>
    <xf numFmtId="0" fontId="71" fillId="0" borderId="44" xfId="131" applyFont="1" applyFill="1" applyBorder="1" applyAlignment="1">
      <alignment horizontal="center"/>
    </xf>
    <xf numFmtId="0" fontId="35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0" fontId="69" fillId="0" borderId="0" xfId="131" applyFont="1" applyAlignment="1">
      <alignment horizontal="center"/>
    </xf>
    <xf numFmtId="0" fontId="57" fillId="0" borderId="47" xfId="126" applyFill="1" applyBorder="1" applyAlignment="1">
      <alignment horizontal="center"/>
    </xf>
    <xf numFmtId="167" fontId="4" fillId="0" borderId="28" xfId="51" applyFont="1" applyFill="1" applyBorder="1" applyAlignment="1">
      <alignment horizontal="center"/>
    </xf>
    <xf numFmtId="167" fontId="4" fillId="0" borderId="0" xfId="51" applyFont="1" applyFill="1" applyAlignment="1">
      <alignment horizontal="center"/>
    </xf>
    <xf numFmtId="167" fontId="4" fillId="0" borderId="34" xfId="51" applyFont="1" applyFill="1" applyBorder="1" applyAlignment="1">
      <alignment horizontal="center"/>
    </xf>
    <xf numFmtId="167" fontId="4" fillId="0" borderId="38" xfId="51" applyFont="1" applyFill="1" applyBorder="1" applyAlignment="1">
      <alignment horizontal="center"/>
    </xf>
    <xf numFmtId="167" fontId="4" fillId="0" borderId="0" xfId="51" applyFont="1" applyFill="1" applyBorder="1" applyAlignment="1">
      <alignment horizontal="center"/>
    </xf>
    <xf numFmtId="0" fontId="49" fillId="0" borderId="0" xfId="101" applyFont="1" applyAlignment="1">
      <alignment horizontal="center"/>
    </xf>
    <xf numFmtId="0" fontId="51" fillId="0" borderId="22" xfId="101" applyFont="1" applyBorder="1" applyAlignment="1">
      <alignment horizontal="center"/>
    </xf>
    <xf numFmtId="0" fontId="51" fillId="0" borderId="25" xfId="101" applyFont="1" applyBorder="1" applyAlignment="1">
      <alignment horizontal="center"/>
    </xf>
    <xf numFmtId="0" fontId="51" fillId="0" borderId="0" xfId="101" applyFont="1" applyAlignment="1">
      <alignment horizontal="center"/>
    </xf>
  </cellXfs>
  <cellStyles count="13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riel" xfId="25"/>
    <cellStyle name="Bad" xfId="26" builtinId="27" customBuiltin="1"/>
    <cellStyle name="Calculation" xfId="27" builtinId="22" customBuiltin="1"/>
    <cellStyle name="Check Cell" xfId="28" builtinId="23" customBuiltin="1"/>
    <cellStyle name="Comma" xfId="29" builtinId="3"/>
    <cellStyle name="Comma 2" xfId="30"/>
    <cellStyle name="Comma 2 2" xfId="89"/>
    <cellStyle name="Comma 2 3" xfId="90"/>
    <cellStyle name="Comma 3" xfId="31"/>
    <cellStyle name="Comma 3 2" xfId="91"/>
    <cellStyle name="Comma 3 3" xfId="92"/>
    <cellStyle name="Comma 4" xfId="32"/>
    <cellStyle name="Comma 4 2" xfId="84"/>
    <cellStyle name="Comma 5" xfId="93"/>
    <cellStyle name="Comma 6" xfId="94"/>
    <cellStyle name="Comma 7" xfId="95"/>
    <cellStyle name="Comma 8" xfId="129"/>
    <cellStyle name="Comma 9" xfId="132"/>
    <cellStyle name="Currency" xfId="85" builtinId="4"/>
    <cellStyle name="Currency 12" xfId="96"/>
    <cellStyle name="Currency 2" xfId="33"/>
    <cellStyle name="Currency 3" xfId="34"/>
    <cellStyle name="Currency 4" xfId="87"/>
    <cellStyle name="Currency 5" xfId="97"/>
    <cellStyle name="Explanatory Text" xfId="35" builtinId="53" customBuiltin="1"/>
    <cellStyle name="Good" xfId="36" builtinId="26" customBuiltin="1"/>
    <cellStyle name="Heading 1" xfId="37" builtinId="16" customBuiltin="1"/>
    <cellStyle name="Heading 2" xfId="38" builtinId="17" customBuiltin="1"/>
    <cellStyle name="Heading 3" xfId="39" builtinId="18" customBuiltin="1"/>
    <cellStyle name="Heading 4" xfId="40" builtinId="19" customBuiltin="1"/>
    <cellStyle name="Input" xfId="41" builtinId="20" customBuiltin="1"/>
    <cellStyle name="Linked Cell" xfId="42" builtinId="24" customBuiltin="1"/>
    <cellStyle name="Neutral" xfId="43" builtinId="28" customBuiltin="1"/>
    <cellStyle name="Normal" xfId="0" builtinId="0"/>
    <cellStyle name="Normal 10" xfId="98"/>
    <cellStyle name="Normal 10 2" xfId="99"/>
    <cellStyle name="Normal 11" xfId="100"/>
    <cellStyle name="Normal 12" xfId="101"/>
    <cellStyle name="Normal 12 2" xfId="102"/>
    <cellStyle name="Normal 13" xfId="103"/>
    <cellStyle name="Normal 14" xfId="126"/>
    <cellStyle name="Normal 15" xfId="131"/>
    <cellStyle name="Normal 16 2" xfId="128"/>
    <cellStyle name="Normal 17" xfId="130"/>
    <cellStyle name="Normal 2" xfId="44"/>
    <cellStyle name="Normal 2 2" xfId="45"/>
    <cellStyle name="Normal 2 2 2" xfId="125"/>
    <cellStyle name="Normal 2 3" xfId="104"/>
    <cellStyle name="Normal 2 3 2" xfId="105"/>
    <cellStyle name="Normal 2_Book1" xfId="46"/>
    <cellStyle name="Normal 3" xfId="47"/>
    <cellStyle name="Normal 3 2" xfId="106"/>
    <cellStyle name="Normal 4" xfId="48"/>
    <cellStyle name="Normal 5" xfId="49"/>
    <cellStyle name="Normal 6" xfId="86"/>
    <cellStyle name="Normal 6 2" xfId="107"/>
    <cellStyle name="Normal 7" xfId="108"/>
    <cellStyle name="Normal 7 2" xfId="109"/>
    <cellStyle name="Normal 7 3" xfId="110"/>
    <cellStyle name="Normal 8" xfId="111"/>
    <cellStyle name="Normal 8 2 2" xfId="112"/>
    <cellStyle name="Normal 9" xfId="113"/>
    <cellStyle name="Normal_JSP Testimony Tables 9-1-06" xfId="50"/>
    <cellStyle name="Normal_RD-WP(Combined 1-01-01 filing)" xfId="51"/>
    <cellStyle name="Normal_Total Allocation Settlement Template" xfId="52"/>
    <cellStyle name="Note" xfId="53" builtinId="10" customBuiltin="1"/>
    <cellStyle name="Output" xfId="54" builtinId="21" customBuiltin="1"/>
    <cellStyle name="Percent" xfId="55" builtinId="5"/>
    <cellStyle name="Percent 10" xfId="114"/>
    <cellStyle name="Percent 11" xfId="127"/>
    <cellStyle name="Percent 2" xfId="56"/>
    <cellStyle name="Percent 2 2" xfId="57"/>
    <cellStyle name="Percent 2 3" xfId="115"/>
    <cellStyle name="Percent 3" xfId="58"/>
    <cellStyle name="Percent 3 2" xfId="116"/>
    <cellStyle name="Percent 4" xfId="59"/>
    <cellStyle name="Percent 4 2" xfId="117"/>
    <cellStyle name="Percent 5" xfId="60"/>
    <cellStyle name="Percent 6" xfId="88"/>
    <cellStyle name="Percent 6 2" xfId="118"/>
    <cellStyle name="Percent 6 2 2" xfId="119"/>
    <cellStyle name="Percent 6 3" xfId="120"/>
    <cellStyle name="Percent 7" xfId="121"/>
    <cellStyle name="Percent 7 2" xfId="122"/>
    <cellStyle name="Percent 8" xfId="123"/>
    <cellStyle name="Percent 9" xfId="124"/>
    <cellStyle name="Style 168" xfId="61"/>
    <cellStyle name="Style 21" xfId="62"/>
    <cellStyle name="Style 22" xfId="63"/>
    <cellStyle name="Style 23" xfId="64"/>
    <cellStyle name="Style 24" xfId="65"/>
    <cellStyle name="Style 25" xfId="66"/>
    <cellStyle name="Style 26" xfId="67"/>
    <cellStyle name="Style 27" xfId="68"/>
    <cellStyle name="Style 28" xfId="69"/>
    <cellStyle name="Style 29" xfId="70"/>
    <cellStyle name="Style 30" xfId="71"/>
    <cellStyle name="Style 31" xfId="72"/>
    <cellStyle name="Style 32" xfId="73"/>
    <cellStyle name="Style 33" xfId="74"/>
    <cellStyle name="Style 34" xfId="75"/>
    <cellStyle name="Style 35" xfId="76"/>
    <cellStyle name="Style 36" xfId="77"/>
    <cellStyle name="Style 37" xfId="78"/>
    <cellStyle name="Style 38" xfId="79"/>
    <cellStyle name="Style 82" xfId="80"/>
    <cellStyle name="Title" xfId="81" builtinId="15" customBuiltin="1"/>
    <cellStyle name="Total" xfId="82" builtinId="25" customBuiltin="1"/>
    <cellStyle name="Warning Text" xfId="8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3"/>
  <sheetViews>
    <sheetView tabSelected="1" workbookViewId="0">
      <selection activeCell="C40" sqref="C40"/>
    </sheetView>
  </sheetViews>
  <sheetFormatPr defaultRowHeight="14.25" x14ac:dyDescent="0.2"/>
  <cols>
    <col min="1" max="1" width="3.85546875" style="162" customWidth="1"/>
    <col min="2" max="2" width="20.28515625" style="162" customWidth="1"/>
    <col min="3" max="3" width="15.42578125" style="162" customWidth="1"/>
    <col min="4" max="4" width="13.7109375" style="162" bestFit="1" customWidth="1"/>
    <col min="5" max="5" width="13.85546875" style="162" customWidth="1"/>
    <col min="6" max="6" width="12.7109375" style="162" customWidth="1"/>
    <col min="7" max="7" width="13.5703125" style="162" customWidth="1"/>
    <col min="8" max="8" width="12.5703125" style="162" customWidth="1"/>
    <col min="9" max="9" width="13.140625" style="162" customWidth="1"/>
    <col min="10" max="10" width="13.5703125" style="162" customWidth="1"/>
    <col min="11" max="11" width="13.42578125" style="162" customWidth="1"/>
    <col min="12" max="12" width="12.28515625" style="162" customWidth="1"/>
    <col min="13" max="13" width="16.7109375" style="162" customWidth="1"/>
    <col min="14" max="16384" width="9.140625" style="162"/>
  </cols>
  <sheetData>
    <row r="1" spans="2:15" ht="23.25" x14ac:dyDescent="0.35">
      <c r="B1" s="342" t="s">
        <v>268</v>
      </c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</row>
    <row r="4" spans="2:15" ht="18" x14ac:dyDescent="0.25">
      <c r="B4" s="343" t="s">
        <v>262</v>
      </c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</row>
    <row r="5" spans="2:15" ht="18" x14ac:dyDescent="0.25">
      <c r="B5" s="343" t="s">
        <v>263</v>
      </c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3"/>
    </row>
    <row r="6" spans="2:15" ht="18" x14ac:dyDescent="0.25">
      <c r="B6" s="344" t="s">
        <v>9</v>
      </c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4"/>
    </row>
    <row r="8" spans="2:15" ht="18.75" thickBot="1" x14ac:dyDescent="0.3">
      <c r="B8" s="165"/>
      <c r="C8" s="164"/>
      <c r="D8" s="164"/>
      <c r="E8" s="164"/>
      <c r="F8" s="164"/>
      <c r="G8" s="164"/>
      <c r="H8" s="164"/>
      <c r="I8" s="164"/>
      <c r="J8" s="164"/>
    </row>
    <row r="9" spans="2:15" ht="15.75" thickBot="1" x14ac:dyDescent="0.3">
      <c r="C9" s="348" t="s">
        <v>0</v>
      </c>
      <c r="D9" s="349"/>
      <c r="E9" s="348" t="s">
        <v>254</v>
      </c>
      <c r="F9" s="349"/>
      <c r="G9" s="348" t="s">
        <v>255</v>
      </c>
      <c r="H9" s="349"/>
      <c r="I9" s="348" t="s">
        <v>256</v>
      </c>
      <c r="J9" s="349"/>
      <c r="K9" s="345" t="s">
        <v>2</v>
      </c>
      <c r="L9" s="346"/>
      <c r="M9" s="347"/>
    </row>
    <row r="10" spans="2:15" ht="53.25" customHeight="1" thickBot="1" x14ac:dyDescent="0.25">
      <c r="B10" s="166"/>
      <c r="C10" s="175" t="s">
        <v>257</v>
      </c>
      <c r="D10" s="176" t="s">
        <v>258</v>
      </c>
      <c r="E10" s="175" t="s">
        <v>257</v>
      </c>
      <c r="F10" s="176" t="s">
        <v>258</v>
      </c>
      <c r="G10" s="175" t="s">
        <v>257</v>
      </c>
      <c r="H10" s="176" t="s">
        <v>258</v>
      </c>
      <c r="I10" s="175" t="s">
        <v>257</v>
      </c>
      <c r="J10" s="176" t="s">
        <v>258</v>
      </c>
      <c r="K10" s="175" t="s">
        <v>257</v>
      </c>
      <c r="L10" s="176" t="s">
        <v>258</v>
      </c>
      <c r="M10" s="176" t="s">
        <v>270</v>
      </c>
    </row>
    <row r="11" spans="2:15" ht="15" thickBot="1" x14ac:dyDescent="0.25">
      <c r="B11" s="167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80"/>
    </row>
    <row r="12" spans="2:15" ht="15" thickBot="1" x14ac:dyDescent="0.25">
      <c r="B12" s="169" t="s">
        <v>183</v>
      </c>
      <c r="C12" s="172">
        <f>'Schedule 1 and 2 Workpaper'!C26</f>
        <v>816648.64650198817</v>
      </c>
      <c r="D12" s="172">
        <f>'Schedule 1 and 2 Workpaper'!D26</f>
        <v>702270.83142646973</v>
      </c>
      <c r="E12" s="172">
        <f>'Schedule 1 and 2 Workpaper'!E26</f>
        <v>624168.12736262602</v>
      </c>
      <c r="F12" s="172">
        <f>'Schedule 1 and 2 Workpaper'!F26</f>
        <v>603591.90643759177</v>
      </c>
      <c r="G12" s="172">
        <f>'Schedule 1 and 2 Workpaper'!G26</f>
        <v>6922.7441394141733</v>
      </c>
      <c r="H12" s="172">
        <f>'Schedule 1 and 2 Workpaper'!H26</f>
        <v>6178.1051531693311</v>
      </c>
      <c r="I12" s="172">
        <f>'Schedule 1 and 2 Workpaper'!I26</f>
        <v>77628.821093999999</v>
      </c>
      <c r="J12" s="172">
        <f>'Schedule 1 and 2 Workpaper'!J26</f>
        <v>75212.692460606515</v>
      </c>
      <c r="K12" s="174">
        <f>C12+E12+G12+I12</f>
        <v>1525368.3390980286</v>
      </c>
      <c r="L12" s="174">
        <f>D12+F12+H12+J12</f>
        <v>1387253.5354778373</v>
      </c>
      <c r="M12" s="182">
        <f>((L12-K12)/K12)</f>
        <v>-9.0545214608204388E-2</v>
      </c>
      <c r="O12" s="179"/>
    </row>
    <row r="13" spans="2:15" ht="15" thickBot="1" x14ac:dyDescent="0.25">
      <c r="B13" s="169" t="s">
        <v>189</v>
      </c>
      <c r="C13" s="172">
        <f>'Schedule 1 and 2 Workpaper'!C27</f>
        <v>230377.53646456861</v>
      </c>
      <c r="D13" s="172">
        <f>'Schedule 1 and 2 Workpaper'!D27</f>
        <v>249198.12673297551</v>
      </c>
      <c r="E13" s="172">
        <f>'Schedule 1 and 2 Workpaper'!E27</f>
        <v>192597.1798924747</v>
      </c>
      <c r="F13" s="172">
        <f>'Schedule 1 and 2 Workpaper'!F27</f>
        <v>186061.86451019091</v>
      </c>
      <c r="G13" s="172">
        <f>'Schedule 1 and 2 Workpaper'!G27</f>
        <v>1906.9596124775153</v>
      </c>
      <c r="H13" s="172">
        <f>'Schedule 1 and 2 Workpaper'!H27</f>
        <v>2001.9478124681852</v>
      </c>
      <c r="I13" s="172">
        <f>'Schedule 1 and 2 Workpaper'!I27</f>
        <v>18911.893769999999</v>
      </c>
      <c r="J13" s="172">
        <f>'Schedule 1 and 2 Workpaper'!J27</f>
        <v>19500.473286931599</v>
      </c>
      <c r="K13" s="174">
        <f t="shared" ref="K13:L16" si="0">C13+E13+G13+I13</f>
        <v>443793.56973952084</v>
      </c>
      <c r="L13" s="174">
        <f t="shared" si="0"/>
        <v>456762.41234256612</v>
      </c>
      <c r="M13" s="182">
        <f t="shared" ref="M13:M17" si="1">((L13-K13)/K13)</f>
        <v>2.9222691556024988E-2</v>
      </c>
      <c r="O13" s="179"/>
    </row>
    <row r="14" spans="2:15" ht="15" thickBot="1" x14ac:dyDescent="0.25">
      <c r="B14" s="169" t="s">
        <v>127</v>
      </c>
      <c r="C14" s="172">
        <f>'Schedule 1 and 2 Workpaper'!C28</f>
        <v>490942.47425897728</v>
      </c>
      <c r="D14" s="172">
        <f>'Schedule 1 and 2 Workpaper'!D28</f>
        <v>584159.63606106117</v>
      </c>
      <c r="E14" s="172">
        <f>'Schedule 1 and 2 Workpaper'!E28</f>
        <v>531706.08223662421</v>
      </c>
      <c r="F14" s="172">
        <f>'Schedule 1 and 2 Workpaper'!F28</f>
        <v>568376.1412419593</v>
      </c>
      <c r="G14" s="172">
        <f>'Schedule 1 and 2 Workpaper'!G28</f>
        <v>6666.3462083247587</v>
      </c>
      <c r="H14" s="172">
        <f>'Schedule 1 and 2 Workpaper'!H28</f>
        <v>7351.1596278473289</v>
      </c>
      <c r="I14" s="172">
        <f>'Schedule 1 and 2 Workpaper'!I28</f>
        <v>81050.973299999998</v>
      </c>
      <c r="J14" s="172">
        <f>'Schedule 1 and 2 Workpaper'!J28</f>
        <v>83114.028099883013</v>
      </c>
      <c r="K14" s="174">
        <f t="shared" si="0"/>
        <v>1110365.8760039264</v>
      </c>
      <c r="L14" s="174">
        <f t="shared" si="0"/>
        <v>1243000.965030751</v>
      </c>
      <c r="M14" s="182">
        <f t="shared" si="1"/>
        <v>0.11945169776304937</v>
      </c>
      <c r="O14" s="179"/>
    </row>
    <row r="15" spans="2:15" ht="15" thickBot="1" x14ac:dyDescent="0.25">
      <c r="B15" s="169" t="s">
        <v>202</v>
      </c>
      <c r="C15" s="172">
        <f>'Schedule 1 and 2 Workpaper'!C29</f>
        <v>19065.727155688441</v>
      </c>
      <c r="D15" s="172">
        <f>'Schedule 1 and 2 Workpaper'!D29</f>
        <v>20716.923728065332</v>
      </c>
      <c r="E15" s="172">
        <f>'Schedule 1 and 2 Workpaper'!E29</f>
        <v>26566.226093356814</v>
      </c>
      <c r="F15" s="172">
        <f>'Schedule 1 and 2 Workpaper'!F29</f>
        <v>21070.460321764978</v>
      </c>
      <c r="G15" s="172">
        <f>'Schedule 1 and 2 Workpaper'!G29</f>
        <v>176.27357762397199</v>
      </c>
      <c r="H15" s="172">
        <f>'Schedule 1 and 2 Workpaper'!H29</f>
        <v>169.66110077642469</v>
      </c>
      <c r="I15" s="172">
        <f>'Schedule 1 and 2 Workpaper'!I29</f>
        <v>1981.2460139999998</v>
      </c>
      <c r="J15" s="172">
        <f>'Schedule 1 and 2 Workpaper'!J29</f>
        <v>1623.3910279541717</v>
      </c>
      <c r="K15" s="174">
        <f t="shared" si="0"/>
        <v>47789.472840669223</v>
      </c>
      <c r="L15" s="174">
        <f t="shared" si="0"/>
        <v>43580.436178560907</v>
      </c>
      <c r="M15" s="182">
        <f t="shared" si="1"/>
        <v>-8.8074557259530853E-2</v>
      </c>
      <c r="O15" s="179"/>
    </row>
    <row r="16" spans="2:15" ht="15" thickBot="1" x14ac:dyDescent="0.25">
      <c r="B16" s="169" t="s">
        <v>259</v>
      </c>
      <c r="C16" s="172">
        <f>'Schedule 1 and 2 Workpaper'!C30</f>
        <v>9532.8635778442203</v>
      </c>
      <c r="D16" s="172">
        <f>'Schedule 1 and 2 Workpaper'!D30</f>
        <v>10221.730010494892</v>
      </c>
      <c r="E16" s="172">
        <f>'Schedule 1 and 2 Workpaper'!E30</f>
        <v>8638.9887669951349</v>
      </c>
      <c r="F16" s="172">
        <f>'Schedule 1 and 2 Workpaper'!F30</f>
        <v>5169.857421391398</v>
      </c>
      <c r="G16" s="172">
        <f>'Schedule 1 and 2 Workpaper'!G30</f>
        <v>32.049741386176727</v>
      </c>
      <c r="H16" s="172">
        <f>'Schedule 1 and 2 Workpaper'!H30</f>
        <v>5.0072364759066224</v>
      </c>
      <c r="I16" s="172">
        <f>'Schedule 1 and 2 Workpaper'!I30</f>
        <v>540.33982200000003</v>
      </c>
      <c r="J16" s="172">
        <f>'Schedule 1 and 2 Workpaper'!J30</f>
        <v>662.68912462472952</v>
      </c>
      <c r="K16" s="174">
        <f t="shared" si="0"/>
        <v>18744.241908225533</v>
      </c>
      <c r="L16" s="174">
        <f t="shared" si="0"/>
        <v>16059.283792986926</v>
      </c>
      <c r="M16" s="182">
        <f t="shared" si="1"/>
        <v>-0.14324175543532477</v>
      </c>
      <c r="O16" s="179"/>
    </row>
    <row r="17" spans="2:15" ht="15" thickBot="1" x14ac:dyDescent="0.25">
      <c r="B17" s="169" t="s">
        <v>260</v>
      </c>
      <c r="C17" s="172">
        <f>'Schedule 1 and 2 Workpaper'!C31</f>
        <v>22243.348348303178</v>
      </c>
      <c r="D17" s="172">
        <f>'Schedule 1 and 2 Workpaper'!D31</f>
        <v>22243.348348303163</v>
      </c>
      <c r="E17" s="172">
        <f>'Schedule 1 and 2 Workpaper'!E31</f>
        <v>25604.85667739328</v>
      </c>
      <c r="F17" s="172">
        <f>'Schedule 1 and 2 Workpaper'!F31</f>
        <v>25011.231096571533</v>
      </c>
      <c r="G17" s="172">
        <f>'Schedule 1 and 2 Workpaper'!G31</f>
        <v>320.49741386176726</v>
      </c>
      <c r="H17" s="172">
        <f>'Schedule 1 and 2 Workpaper'!H31</f>
        <v>318.98976235118812</v>
      </c>
      <c r="I17" s="172" t="str">
        <f>'Schedule 1 and 2 Workpaper'!I31</f>
        <v>N/A</v>
      </c>
      <c r="J17" s="172" t="str">
        <f>'Schedule 1 and 2 Workpaper'!J31</f>
        <v>N/A</v>
      </c>
      <c r="K17" s="174">
        <f>C17+E17+G17</f>
        <v>48168.702439558227</v>
      </c>
      <c r="L17" s="174">
        <f>D17+F17+H17</f>
        <v>47573.569207225883</v>
      </c>
      <c r="M17" s="183">
        <f t="shared" si="1"/>
        <v>-1.2355185051519986E-2</v>
      </c>
      <c r="O17" s="179"/>
    </row>
    <row r="18" spans="2:15" ht="15.75" thickBot="1" x14ac:dyDescent="0.25">
      <c r="B18" s="173" t="s">
        <v>2</v>
      </c>
      <c r="C18" s="177">
        <f>'Schedule 1 and 2 Workpaper'!C32</f>
        <v>1588810.5963073699</v>
      </c>
      <c r="D18" s="177">
        <f>'Schedule 1 and 2 Workpaper'!D32</f>
        <v>1588810.5963073699</v>
      </c>
      <c r="E18" s="177">
        <f>'Schedule 1 and 2 Workpaper'!E32</f>
        <v>1409281.4610294704</v>
      </c>
      <c r="F18" s="177">
        <f>'Schedule 1 and 2 Workpaper'!F32</f>
        <v>1409281.4610294704</v>
      </c>
      <c r="G18" s="177">
        <f>'Schedule 1 and 2 Workpaper'!G32</f>
        <v>16024.870693088364</v>
      </c>
      <c r="H18" s="177">
        <f>'Schedule 1 and 2 Workpaper'!H32</f>
        <v>16024.870693088364</v>
      </c>
      <c r="I18" s="177">
        <f>'Schedule 1 and 2 Workpaper'!I32</f>
        <v>180113.274</v>
      </c>
      <c r="J18" s="177">
        <f>'Schedule 1 and 2 Workpaper'!J32</f>
        <v>180113.274</v>
      </c>
      <c r="K18" s="178">
        <f>SUM(K12:K17)</f>
        <v>3194230.202029929</v>
      </c>
      <c r="L18" s="178">
        <f>SUM(L12:L17)</f>
        <v>3194230.2020299281</v>
      </c>
      <c r="M18" s="181"/>
    </row>
    <row r="23" spans="2:15" x14ac:dyDescent="0.2">
      <c r="B23" s="162" t="s">
        <v>265</v>
      </c>
    </row>
  </sheetData>
  <mergeCells count="9">
    <mergeCell ref="B1:M1"/>
    <mergeCell ref="B4:M4"/>
    <mergeCell ref="B5:M5"/>
    <mergeCell ref="B6:M6"/>
    <mergeCell ref="K9:M9"/>
    <mergeCell ref="C9:D9"/>
    <mergeCell ref="E9:F9"/>
    <mergeCell ref="G9:H9"/>
    <mergeCell ref="I9:J9"/>
  </mergeCells>
  <pageMargins left="0.7" right="0.7" top="0.75" bottom="0.75" header="0.3" footer="0.3"/>
  <pageSetup scale="71" orientation="landscape" r:id="rId1"/>
  <headerFooter>
    <oddHeader>&amp;R&amp;"Arial,Bold"&amp;12Schedule MEB 2
Page 1 of 2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25"/>
  <sheetViews>
    <sheetView topLeftCell="I1" zoomScale="110" zoomScaleNormal="110" workbookViewId="0">
      <selection activeCell="J19" sqref="J19"/>
    </sheetView>
  </sheetViews>
  <sheetFormatPr defaultRowHeight="12.75" x14ac:dyDescent="0.2"/>
  <cols>
    <col min="1" max="1" width="6" style="115" bestFit="1" customWidth="1"/>
    <col min="2" max="2" width="80.28515625" style="115" customWidth="1"/>
    <col min="3" max="6" width="20.5703125" style="115" customWidth="1"/>
    <col min="7" max="7" width="6" style="115" bestFit="1" customWidth="1"/>
    <col min="8" max="8" width="18.85546875" style="115" bestFit="1" customWidth="1"/>
    <col min="9" max="9" width="9.140625" style="115"/>
    <col min="10" max="10" width="99.7109375" style="115" customWidth="1"/>
    <col min="11" max="11" width="24.5703125" style="115" customWidth="1"/>
    <col min="12" max="12" width="23" style="115" customWidth="1"/>
    <col min="13" max="13" width="15.5703125" style="115" customWidth="1"/>
    <col min="14" max="14" width="14.140625" style="115" bestFit="1" customWidth="1"/>
    <col min="15" max="15" width="12" style="115" bestFit="1" customWidth="1"/>
    <col min="16" max="18" width="9.140625" style="115"/>
    <col min="19" max="19" width="17.7109375" style="115" bestFit="1" customWidth="1"/>
    <col min="20" max="256" width="9.140625" style="115"/>
    <col min="257" max="257" width="6" style="115" bestFit="1" customWidth="1"/>
    <col min="258" max="258" width="80.28515625" style="115" customWidth="1"/>
    <col min="259" max="262" width="20.5703125" style="115" customWidth="1"/>
    <col min="263" max="263" width="6" style="115" bestFit="1" customWidth="1"/>
    <col min="264" max="264" width="18.85546875" style="115" bestFit="1" customWidth="1"/>
    <col min="265" max="265" width="9.140625" style="115"/>
    <col min="266" max="266" width="82.42578125" style="115" customWidth="1"/>
    <col min="267" max="267" width="17.28515625" style="115" customWidth="1"/>
    <col min="268" max="270" width="14.140625" style="115" bestFit="1" customWidth="1"/>
    <col min="271" max="271" width="12" style="115" bestFit="1" customWidth="1"/>
    <col min="272" max="512" width="9.140625" style="115"/>
    <col min="513" max="513" width="6" style="115" bestFit="1" customWidth="1"/>
    <col min="514" max="514" width="80.28515625" style="115" customWidth="1"/>
    <col min="515" max="518" width="20.5703125" style="115" customWidth="1"/>
    <col min="519" max="519" width="6" style="115" bestFit="1" customWidth="1"/>
    <col min="520" max="520" width="18.85546875" style="115" bestFit="1" customWidth="1"/>
    <col min="521" max="521" width="9.140625" style="115"/>
    <col min="522" max="522" width="82.42578125" style="115" customWidth="1"/>
    <col min="523" max="523" width="17.28515625" style="115" customWidth="1"/>
    <col min="524" max="526" width="14.140625" style="115" bestFit="1" customWidth="1"/>
    <col min="527" max="527" width="12" style="115" bestFit="1" customWidth="1"/>
    <col min="528" max="768" width="9.140625" style="115"/>
    <col min="769" max="769" width="6" style="115" bestFit="1" customWidth="1"/>
    <col min="770" max="770" width="80.28515625" style="115" customWidth="1"/>
    <col min="771" max="774" width="20.5703125" style="115" customWidth="1"/>
    <col min="775" max="775" width="6" style="115" bestFit="1" customWidth="1"/>
    <col min="776" max="776" width="18.85546875" style="115" bestFit="1" customWidth="1"/>
    <col min="777" max="777" width="9.140625" style="115"/>
    <col min="778" max="778" width="82.42578125" style="115" customWidth="1"/>
    <col min="779" max="779" width="17.28515625" style="115" customWidth="1"/>
    <col min="780" max="782" width="14.140625" style="115" bestFit="1" customWidth="1"/>
    <col min="783" max="783" width="12" style="115" bestFit="1" customWidth="1"/>
    <col min="784" max="1024" width="9.140625" style="115"/>
    <col min="1025" max="1025" width="6" style="115" bestFit="1" customWidth="1"/>
    <col min="1026" max="1026" width="80.28515625" style="115" customWidth="1"/>
    <col min="1027" max="1030" width="20.5703125" style="115" customWidth="1"/>
    <col min="1031" max="1031" width="6" style="115" bestFit="1" customWidth="1"/>
    <col min="1032" max="1032" width="18.85546875" style="115" bestFit="1" customWidth="1"/>
    <col min="1033" max="1033" width="9.140625" style="115"/>
    <col min="1034" max="1034" width="82.42578125" style="115" customWidth="1"/>
    <col min="1035" max="1035" width="17.28515625" style="115" customWidth="1"/>
    <col min="1036" max="1038" width="14.140625" style="115" bestFit="1" customWidth="1"/>
    <col min="1039" max="1039" width="12" style="115" bestFit="1" customWidth="1"/>
    <col min="1040" max="1280" width="9.140625" style="115"/>
    <col min="1281" max="1281" width="6" style="115" bestFit="1" customWidth="1"/>
    <col min="1282" max="1282" width="80.28515625" style="115" customWidth="1"/>
    <col min="1283" max="1286" width="20.5703125" style="115" customWidth="1"/>
    <col min="1287" max="1287" width="6" style="115" bestFit="1" customWidth="1"/>
    <col min="1288" max="1288" width="18.85546875" style="115" bestFit="1" customWidth="1"/>
    <col min="1289" max="1289" width="9.140625" style="115"/>
    <col min="1290" max="1290" width="82.42578125" style="115" customWidth="1"/>
    <col min="1291" max="1291" width="17.28515625" style="115" customWidth="1"/>
    <col min="1292" max="1294" width="14.140625" style="115" bestFit="1" customWidth="1"/>
    <col min="1295" max="1295" width="12" style="115" bestFit="1" customWidth="1"/>
    <col min="1296" max="1536" width="9.140625" style="115"/>
    <col min="1537" max="1537" width="6" style="115" bestFit="1" customWidth="1"/>
    <col min="1538" max="1538" width="80.28515625" style="115" customWidth="1"/>
    <col min="1539" max="1542" width="20.5703125" style="115" customWidth="1"/>
    <col min="1543" max="1543" width="6" style="115" bestFit="1" customWidth="1"/>
    <col min="1544" max="1544" width="18.85546875" style="115" bestFit="1" customWidth="1"/>
    <col min="1545" max="1545" width="9.140625" style="115"/>
    <col min="1546" max="1546" width="82.42578125" style="115" customWidth="1"/>
    <col min="1547" max="1547" width="17.28515625" style="115" customWidth="1"/>
    <col min="1548" max="1550" width="14.140625" style="115" bestFit="1" customWidth="1"/>
    <col min="1551" max="1551" width="12" style="115" bestFit="1" customWidth="1"/>
    <col min="1552" max="1792" width="9.140625" style="115"/>
    <col min="1793" max="1793" width="6" style="115" bestFit="1" customWidth="1"/>
    <col min="1794" max="1794" width="80.28515625" style="115" customWidth="1"/>
    <col min="1795" max="1798" width="20.5703125" style="115" customWidth="1"/>
    <col min="1799" max="1799" width="6" style="115" bestFit="1" customWidth="1"/>
    <col min="1800" max="1800" width="18.85546875" style="115" bestFit="1" customWidth="1"/>
    <col min="1801" max="1801" width="9.140625" style="115"/>
    <col min="1802" max="1802" width="82.42578125" style="115" customWidth="1"/>
    <col min="1803" max="1803" width="17.28515625" style="115" customWidth="1"/>
    <col min="1804" max="1806" width="14.140625" style="115" bestFit="1" customWidth="1"/>
    <col min="1807" max="1807" width="12" style="115" bestFit="1" customWidth="1"/>
    <col min="1808" max="2048" width="9.140625" style="115"/>
    <col min="2049" max="2049" width="6" style="115" bestFit="1" customWidth="1"/>
    <col min="2050" max="2050" width="80.28515625" style="115" customWidth="1"/>
    <col min="2051" max="2054" width="20.5703125" style="115" customWidth="1"/>
    <col min="2055" max="2055" width="6" style="115" bestFit="1" customWidth="1"/>
    <col min="2056" max="2056" width="18.85546875" style="115" bestFit="1" customWidth="1"/>
    <col min="2057" max="2057" width="9.140625" style="115"/>
    <col min="2058" max="2058" width="82.42578125" style="115" customWidth="1"/>
    <col min="2059" max="2059" width="17.28515625" style="115" customWidth="1"/>
    <col min="2060" max="2062" width="14.140625" style="115" bestFit="1" customWidth="1"/>
    <col min="2063" max="2063" width="12" style="115" bestFit="1" customWidth="1"/>
    <col min="2064" max="2304" width="9.140625" style="115"/>
    <col min="2305" max="2305" width="6" style="115" bestFit="1" customWidth="1"/>
    <col min="2306" max="2306" width="80.28515625" style="115" customWidth="1"/>
    <col min="2307" max="2310" width="20.5703125" style="115" customWidth="1"/>
    <col min="2311" max="2311" width="6" style="115" bestFit="1" customWidth="1"/>
    <col min="2312" max="2312" width="18.85546875" style="115" bestFit="1" customWidth="1"/>
    <col min="2313" max="2313" width="9.140625" style="115"/>
    <col min="2314" max="2314" width="82.42578125" style="115" customWidth="1"/>
    <col min="2315" max="2315" width="17.28515625" style="115" customWidth="1"/>
    <col min="2316" max="2318" width="14.140625" style="115" bestFit="1" customWidth="1"/>
    <col min="2319" max="2319" width="12" style="115" bestFit="1" customWidth="1"/>
    <col min="2320" max="2560" width="9.140625" style="115"/>
    <col min="2561" max="2561" width="6" style="115" bestFit="1" customWidth="1"/>
    <col min="2562" max="2562" width="80.28515625" style="115" customWidth="1"/>
    <col min="2563" max="2566" width="20.5703125" style="115" customWidth="1"/>
    <col min="2567" max="2567" width="6" style="115" bestFit="1" customWidth="1"/>
    <col min="2568" max="2568" width="18.85546875" style="115" bestFit="1" customWidth="1"/>
    <col min="2569" max="2569" width="9.140625" style="115"/>
    <col min="2570" max="2570" width="82.42578125" style="115" customWidth="1"/>
    <col min="2571" max="2571" width="17.28515625" style="115" customWidth="1"/>
    <col min="2572" max="2574" width="14.140625" style="115" bestFit="1" customWidth="1"/>
    <col min="2575" max="2575" width="12" style="115" bestFit="1" customWidth="1"/>
    <col min="2576" max="2816" width="9.140625" style="115"/>
    <col min="2817" max="2817" width="6" style="115" bestFit="1" customWidth="1"/>
    <col min="2818" max="2818" width="80.28515625" style="115" customWidth="1"/>
    <col min="2819" max="2822" width="20.5703125" style="115" customWidth="1"/>
    <col min="2823" max="2823" width="6" style="115" bestFit="1" customWidth="1"/>
    <col min="2824" max="2824" width="18.85546875" style="115" bestFit="1" customWidth="1"/>
    <col min="2825" max="2825" width="9.140625" style="115"/>
    <col min="2826" max="2826" width="82.42578125" style="115" customWidth="1"/>
    <col min="2827" max="2827" width="17.28515625" style="115" customWidth="1"/>
    <col min="2828" max="2830" width="14.140625" style="115" bestFit="1" customWidth="1"/>
    <col min="2831" max="2831" width="12" style="115" bestFit="1" customWidth="1"/>
    <col min="2832" max="3072" width="9.140625" style="115"/>
    <col min="3073" max="3073" width="6" style="115" bestFit="1" customWidth="1"/>
    <col min="3074" max="3074" width="80.28515625" style="115" customWidth="1"/>
    <col min="3075" max="3078" width="20.5703125" style="115" customWidth="1"/>
    <col min="3079" max="3079" width="6" style="115" bestFit="1" customWidth="1"/>
    <col min="3080" max="3080" width="18.85546875" style="115" bestFit="1" customWidth="1"/>
    <col min="3081" max="3081" width="9.140625" style="115"/>
    <col min="3082" max="3082" width="82.42578125" style="115" customWidth="1"/>
    <col min="3083" max="3083" width="17.28515625" style="115" customWidth="1"/>
    <col min="3084" max="3086" width="14.140625" style="115" bestFit="1" customWidth="1"/>
    <col min="3087" max="3087" width="12" style="115" bestFit="1" customWidth="1"/>
    <col min="3088" max="3328" width="9.140625" style="115"/>
    <col min="3329" max="3329" width="6" style="115" bestFit="1" customWidth="1"/>
    <col min="3330" max="3330" width="80.28515625" style="115" customWidth="1"/>
    <col min="3331" max="3334" width="20.5703125" style="115" customWidth="1"/>
    <col min="3335" max="3335" width="6" style="115" bestFit="1" customWidth="1"/>
    <col min="3336" max="3336" width="18.85546875" style="115" bestFit="1" customWidth="1"/>
    <col min="3337" max="3337" width="9.140625" style="115"/>
    <col min="3338" max="3338" width="82.42578125" style="115" customWidth="1"/>
    <col min="3339" max="3339" width="17.28515625" style="115" customWidth="1"/>
    <col min="3340" max="3342" width="14.140625" style="115" bestFit="1" customWidth="1"/>
    <col min="3343" max="3343" width="12" style="115" bestFit="1" customWidth="1"/>
    <col min="3344" max="3584" width="9.140625" style="115"/>
    <col min="3585" max="3585" width="6" style="115" bestFit="1" customWidth="1"/>
    <col min="3586" max="3586" width="80.28515625" style="115" customWidth="1"/>
    <col min="3587" max="3590" width="20.5703125" style="115" customWidth="1"/>
    <col min="3591" max="3591" width="6" style="115" bestFit="1" customWidth="1"/>
    <col min="3592" max="3592" width="18.85546875" style="115" bestFit="1" customWidth="1"/>
    <col min="3593" max="3593" width="9.140625" style="115"/>
    <col min="3594" max="3594" width="82.42578125" style="115" customWidth="1"/>
    <col min="3595" max="3595" width="17.28515625" style="115" customWidth="1"/>
    <col min="3596" max="3598" width="14.140625" style="115" bestFit="1" customWidth="1"/>
    <col min="3599" max="3599" width="12" style="115" bestFit="1" customWidth="1"/>
    <col min="3600" max="3840" width="9.140625" style="115"/>
    <col min="3841" max="3841" width="6" style="115" bestFit="1" customWidth="1"/>
    <col min="3842" max="3842" width="80.28515625" style="115" customWidth="1"/>
    <col min="3843" max="3846" width="20.5703125" style="115" customWidth="1"/>
    <col min="3847" max="3847" width="6" style="115" bestFit="1" customWidth="1"/>
    <col min="3848" max="3848" width="18.85546875" style="115" bestFit="1" customWidth="1"/>
    <col min="3849" max="3849" width="9.140625" style="115"/>
    <col min="3850" max="3850" width="82.42578125" style="115" customWidth="1"/>
    <col min="3851" max="3851" width="17.28515625" style="115" customWidth="1"/>
    <col min="3852" max="3854" width="14.140625" style="115" bestFit="1" customWidth="1"/>
    <col min="3855" max="3855" width="12" style="115" bestFit="1" customWidth="1"/>
    <col min="3856" max="4096" width="9.140625" style="115"/>
    <col min="4097" max="4097" width="6" style="115" bestFit="1" customWidth="1"/>
    <col min="4098" max="4098" width="80.28515625" style="115" customWidth="1"/>
    <col min="4099" max="4102" width="20.5703125" style="115" customWidth="1"/>
    <col min="4103" max="4103" width="6" style="115" bestFit="1" customWidth="1"/>
    <col min="4104" max="4104" width="18.85546875" style="115" bestFit="1" customWidth="1"/>
    <col min="4105" max="4105" width="9.140625" style="115"/>
    <col min="4106" max="4106" width="82.42578125" style="115" customWidth="1"/>
    <col min="4107" max="4107" width="17.28515625" style="115" customWidth="1"/>
    <col min="4108" max="4110" width="14.140625" style="115" bestFit="1" customWidth="1"/>
    <col min="4111" max="4111" width="12" style="115" bestFit="1" customWidth="1"/>
    <col min="4112" max="4352" width="9.140625" style="115"/>
    <col min="4353" max="4353" width="6" style="115" bestFit="1" customWidth="1"/>
    <col min="4354" max="4354" width="80.28515625" style="115" customWidth="1"/>
    <col min="4355" max="4358" width="20.5703125" style="115" customWidth="1"/>
    <col min="4359" max="4359" width="6" style="115" bestFit="1" customWidth="1"/>
    <col min="4360" max="4360" width="18.85546875" style="115" bestFit="1" customWidth="1"/>
    <col min="4361" max="4361" width="9.140625" style="115"/>
    <col min="4362" max="4362" width="82.42578125" style="115" customWidth="1"/>
    <col min="4363" max="4363" width="17.28515625" style="115" customWidth="1"/>
    <col min="4364" max="4366" width="14.140625" style="115" bestFit="1" customWidth="1"/>
    <col min="4367" max="4367" width="12" style="115" bestFit="1" customWidth="1"/>
    <col min="4368" max="4608" width="9.140625" style="115"/>
    <col min="4609" max="4609" width="6" style="115" bestFit="1" customWidth="1"/>
    <col min="4610" max="4610" width="80.28515625" style="115" customWidth="1"/>
    <col min="4611" max="4614" width="20.5703125" style="115" customWidth="1"/>
    <col min="4615" max="4615" width="6" style="115" bestFit="1" customWidth="1"/>
    <col min="4616" max="4616" width="18.85546875" style="115" bestFit="1" customWidth="1"/>
    <col min="4617" max="4617" width="9.140625" style="115"/>
    <col min="4618" max="4618" width="82.42578125" style="115" customWidth="1"/>
    <col min="4619" max="4619" width="17.28515625" style="115" customWidth="1"/>
    <col min="4620" max="4622" width="14.140625" style="115" bestFit="1" customWidth="1"/>
    <col min="4623" max="4623" width="12" style="115" bestFit="1" customWidth="1"/>
    <col min="4624" max="4864" width="9.140625" style="115"/>
    <col min="4865" max="4865" width="6" style="115" bestFit="1" customWidth="1"/>
    <col min="4866" max="4866" width="80.28515625" style="115" customWidth="1"/>
    <col min="4867" max="4870" width="20.5703125" style="115" customWidth="1"/>
    <col min="4871" max="4871" width="6" style="115" bestFit="1" customWidth="1"/>
    <col min="4872" max="4872" width="18.85546875" style="115" bestFit="1" customWidth="1"/>
    <col min="4873" max="4873" width="9.140625" style="115"/>
    <col min="4874" max="4874" width="82.42578125" style="115" customWidth="1"/>
    <col min="4875" max="4875" width="17.28515625" style="115" customWidth="1"/>
    <col min="4876" max="4878" width="14.140625" style="115" bestFit="1" customWidth="1"/>
    <col min="4879" max="4879" width="12" style="115" bestFit="1" customWidth="1"/>
    <col min="4880" max="5120" width="9.140625" style="115"/>
    <col min="5121" max="5121" width="6" style="115" bestFit="1" customWidth="1"/>
    <col min="5122" max="5122" width="80.28515625" style="115" customWidth="1"/>
    <col min="5123" max="5126" width="20.5703125" style="115" customWidth="1"/>
    <col min="5127" max="5127" width="6" style="115" bestFit="1" customWidth="1"/>
    <col min="5128" max="5128" width="18.85546875" style="115" bestFit="1" customWidth="1"/>
    <col min="5129" max="5129" width="9.140625" style="115"/>
    <col min="5130" max="5130" width="82.42578125" style="115" customWidth="1"/>
    <col min="5131" max="5131" width="17.28515625" style="115" customWidth="1"/>
    <col min="5132" max="5134" width="14.140625" style="115" bestFit="1" customWidth="1"/>
    <col min="5135" max="5135" width="12" style="115" bestFit="1" customWidth="1"/>
    <col min="5136" max="5376" width="9.140625" style="115"/>
    <col min="5377" max="5377" width="6" style="115" bestFit="1" customWidth="1"/>
    <col min="5378" max="5378" width="80.28515625" style="115" customWidth="1"/>
    <col min="5379" max="5382" width="20.5703125" style="115" customWidth="1"/>
    <col min="5383" max="5383" width="6" style="115" bestFit="1" customWidth="1"/>
    <col min="5384" max="5384" width="18.85546875" style="115" bestFit="1" customWidth="1"/>
    <col min="5385" max="5385" width="9.140625" style="115"/>
    <col min="5386" max="5386" width="82.42578125" style="115" customWidth="1"/>
    <col min="5387" max="5387" width="17.28515625" style="115" customWidth="1"/>
    <col min="5388" max="5390" width="14.140625" style="115" bestFit="1" customWidth="1"/>
    <col min="5391" max="5391" width="12" style="115" bestFit="1" customWidth="1"/>
    <col min="5392" max="5632" width="9.140625" style="115"/>
    <col min="5633" max="5633" width="6" style="115" bestFit="1" customWidth="1"/>
    <col min="5634" max="5634" width="80.28515625" style="115" customWidth="1"/>
    <col min="5635" max="5638" width="20.5703125" style="115" customWidth="1"/>
    <col min="5639" max="5639" width="6" style="115" bestFit="1" customWidth="1"/>
    <col min="5640" max="5640" width="18.85546875" style="115" bestFit="1" customWidth="1"/>
    <col min="5641" max="5641" width="9.140625" style="115"/>
    <col min="5642" max="5642" width="82.42578125" style="115" customWidth="1"/>
    <col min="5643" max="5643" width="17.28515625" style="115" customWidth="1"/>
    <col min="5644" max="5646" width="14.140625" style="115" bestFit="1" customWidth="1"/>
    <col min="5647" max="5647" width="12" style="115" bestFit="1" customWidth="1"/>
    <col min="5648" max="5888" width="9.140625" style="115"/>
    <col min="5889" max="5889" width="6" style="115" bestFit="1" customWidth="1"/>
    <col min="5890" max="5890" width="80.28515625" style="115" customWidth="1"/>
    <col min="5891" max="5894" width="20.5703125" style="115" customWidth="1"/>
    <col min="5895" max="5895" width="6" style="115" bestFit="1" customWidth="1"/>
    <col min="5896" max="5896" width="18.85546875" style="115" bestFit="1" customWidth="1"/>
    <col min="5897" max="5897" width="9.140625" style="115"/>
    <col min="5898" max="5898" width="82.42578125" style="115" customWidth="1"/>
    <col min="5899" max="5899" width="17.28515625" style="115" customWidth="1"/>
    <col min="5900" max="5902" width="14.140625" style="115" bestFit="1" customWidth="1"/>
    <col min="5903" max="5903" width="12" style="115" bestFit="1" customWidth="1"/>
    <col min="5904" max="6144" width="9.140625" style="115"/>
    <col min="6145" max="6145" width="6" style="115" bestFit="1" customWidth="1"/>
    <col min="6146" max="6146" width="80.28515625" style="115" customWidth="1"/>
    <col min="6147" max="6150" width="20.5703125" style="115" customWidth="1"/>
    <col min="6151" max="6151" width="6" style="115" bestFit="1" customWidth="1"/>
    <col min="6152" max="6152" width="18.85546875" style="115" bestFit="1" customWidth="1"/>
    <col min="6153" max="6153" width="9.140625" style="115"/>
    <col min="6154" max="6154" width="82.42578125" style="115" customWidth="1"/>
    <col min="6155" max="6155" width="17.28515625" style="115" customWidth="1"/>
    <col min="6156" max="6158" width="14.140625" style="115" bestFit="1" customWidth="1"/>
    <col min="6159" max="6159" width="12" style="115" bestFit="1" customWidth="1"/>
    <col min="6160" max="6400" width="9.140625" style="115"/>
    <col min="6401" max="6401" width="6" style="115" bestFit="1" customWidth="1"/>
    <col min="6402" max="6402" width="80.28515625" style="115" customWidth="1"/>
    <col min="6403" max="6406" width="20.5703125" style="115" customWidth="1"/>
    <col min="6407" max="6407" width="6" style="115" bestFit="1" customWidth="1"/>
    <col min="6408" max="6408" width="18.85546875" style="115" bestFit="1" customWidth="1"/>
    <col min="6409" max="6409" width="9.140625" style="115"/>
    <col min="6410" max="6410" width="82.42578125" style="115" customWidth="1"/>
    <col min="6411" max="6411" width="17.28515625" style="115" customWidth="1"/>
    <col min="6412" max="6414" width="14.140625" style="115" bestFit="1" customWidth="1"/>
    <col min="6415" max="6415" width="12" style="115" bestFit="1" customWidth="1"/>
    <col min="6416" max="6656" width="9.140625" style="115"/>
    <col min="6657" max="6657" width="6" style="115" bestFit="1" customWidth="1"/>
    <col min="6658" max="6658" width="80.28515625" style="115" customWidth="1"/>
    <col min="6659" max="6662" width="20.5703125" style="115" customWidth="1"/>
    <col min="6663" max="6663" width="6" style="115" bestFit="1" customWidth="1"/>
    <col min="6664" max="6664" width="18.85546875" style="115" bestFit="1" customWidth="1"/>
    <col min="6665" max="6665" width="9.140625" style="115"/>
    <col min="6666" max="6666" width="82.42578125" style="115" customWidth="1"/>
    <col min="6667" max="6667" width="17.28515625" style="115" customWidth="1"/>
    <col min="6668" max="6670" width="14.140625" style="115" bestFit="1" customWidth="1"/>
    <col min="6671" max="6671" width="12" style="115" bestFit="1" customWidth="1"/>
    <col min="6672" max="6912" width="9.140625" style="115"/>
    <col min="6913" max="6913" width="6" style="115" bestFit="1" customWidth="1"/>
    <col min="6914" max="6914" width="80.28515625" style="115" customWidth="1"/>
    <col min="6915" max="6918" width="20.5703125" style="115" customWidth="1"/>
    <col min="6919" max="6919" width="6" style="115" bestFit="1" customWidth="1"/>
    <col min="6920" max="6920" width="18.85546875" style="115" bestFit="1" customWidth="1"/>
    <col min="6921" max="6921" width="9.140625" style="115"/>
    <col min="6922" max="6922" width="82.42578125" style="115" customWidth="1"/>
    <col min="6923" max="6923" width="17.28515625" style="115" customWidth="1"/>
    <col min="6924" max="6926" width="14.140625" style="115" bestFit="1" customWidth="1"/>
    <col min="6927" max="6927" width="12" style="115" bestFit="1" customWidth="1"/>
    <col min="6928" max="7168" width="9.140625" style="115"/>
    <col min="7169" max="7169" width="6" style="115" bestFit="1" customWidth="1"/>
    <col min="7170" max="7170" width="80.28515625" style="115" customWidth="1"/>
    <col min="7171" max="7174" width="20.5703125" style="115" customWidth="1"/>
    <col min="7175" max="7175" width="6" style="115" bestFit="1" customWidth="1"/>
    <col min="7176" max="7176" width="18.85546875" style="115" bestFit="1" customWidth="1"/>
    <col min="7177" max="7177" width="9.140625" style="115"/>
    <col min="7178" max="7178" width="82.42578125" style="115" customWidth="1"/>
    <col min="7179" max="7179" width="17.28515625" style="115" customWidth="1"/>
    <col min="7180" max="7182" width="14.140625" style="115" bestFit="1" customWidth="1"/>
    <col min="7183" max="7183" width="12" style="115" bestFit="1" customWidth="1"/>
    <col min="7184" max="7424" width="9.140625" style="115"/>
    <col min="7425" max="7425" width="6" style="115" bestFit="1" customWidth="1"/>
    <col min="7426" max="7426" width="80.28515625" style="115" customWidth="1"/>
    <col min="7427" max="7430" width="20.5703125" style="115" customWidth="1"/>
    <col min="7431" max="7431" width="6" style="115" bestFit="1" customWidth="1"/>
    <col min="7432" max="7432" width="18.85546875" style="115" bestFit="1" customWidth="1"/>
    <col min="7433" max="7433" width="9.140625" style="115"/>
    <col min="7434" max="7434" width="82.42578125" style="115" customWidth="1"/>
    <col min="7435" max="7435" width="17.28515625" style="115" customWidth="1"/>
    <col min="7436" max="7438" width="14.140625" style="115" bestFit="1" customWidth="1"/>
    <col min="7439" max="7439" width="12" style="115" bestFit="1" customWidth="1"/>
    <col min="7440" max="7680" width="9.140625" style="115"/>
    <col min="7681" max="7681" width="6" style="115" bestFit="1" customWidth="1"/>
    <col min="7682" max="7682" width="80.28515625" style="115" customWidth="1"/>
    <col min="7683" max="7686" width="20.5703125" style="115" customWidth="1"/>
    <col min="7687" max="7687" width="6" style="115" bestFit="1" customWidth="1"/>
    <col min="7688" max="7688" width="18.85546875" style="115" bestFit="1" customWidth="1"/>
    <col min="7689" max="7689" width="9.140625" style="115"/>
    <col min="7690" max="7690" width="82.42578125" style="115" customWidth="1"/>
    <col min="7691" max="7691" width="17.28515625" style="115" customWidth="1"/>
    <col min="7692" max="7694" width="14.140625" style="115" bestFit="1" customWidth="1"/>
    <col min="7695" max="7695" width="12" style="115" bestFit="1" customWidth="1"/>
    <col min="7696" max="7936" width="9.140625" style="115"/>
    <col min="7937" max="7937" width="6" style="115" bestFit="1" customWidth="1"/>
    <col min="7938" max="7938" width="80.28515625" style="115" customWidth="1"/>
    <col min="7939" max="7942" width="20.5703125" style="115" customWidth="1"/>
    <col min="7943" max="7943" width="6" style="115" bestFit="1" customWidth="1"/>
    <col min="7944" max="7944" width="18.85546875" style="115" bestFit="1" customWidth="1"/>
    <col min="7945" max="7945" width="9.140625" style="115"/>
    <col min="7946" max="7946" width="82.42578125" style="115" customWidth="1"/>
    <col min="7947" max="7947" width="17.28515625" style="115" customWidth="1"/>
    <col min="7948" max="7950" width="14.140625" style="115" bestFit="1" customWidth="1"/>
    <col min="7951" max="7951" width="12" style="115" bestFit="1" customWidth="1"/>
    <col min="7952" max="8192" width="9.140625" style="115"/>
    <col min="8193" max="8193" width="6" style="115" bestFit="1" customWidth="1"/>
    <col min="8194" max="8194" width="80.28515625" style="115" customWidth="1"/>
    <col min="8195" max="8198" width="20.5703125" style="115" customWidth="1"/>
    <col min="8199" max="8199" width="6" style="115" bestFit="1" customWidth="1"/>
    <col min="8200" max="8200" width="18.85546875" style="115" bestFit="1" customWidth="1"/>
    <col min="8201" max="8201" width="9.140625" style="115"/>
    <col min="8202" max="8202" width="82.42578125" style="115" customWidth="1"/>
    <col min="8203" max="8203" width="17.28515625" style="115" customWidth="1"/>
    <col min="8204" max="8206" width="14.140625" style="115" bestFit="1" customWidth="1"/>
    <col min="8207" max="8207" width="12" style="115" bestFit="1" customWidth="1"/>
    <col min="8208" max="8448" width="9.140625" style="115"/>
    <col min="8449" max="8449" width="6" style="115" bestFit="1" customWidth="1"/>
    <col min="8450" max="8450" width="80.28515625" style="115" customWidth="1"/>
    <col min="8451" max="8454" width="20.5703125" style="115" customWidth="1"/>
    <col min="8455" max="8455" width="6" style="115" bestFit="1" customWidth="1"/>
    <col min="8456" max="8456" width="18.85546875" style="115" bestFit="1" customWidth="1"/>
    <col min="8457" max="8457" width="9.140625" style="115"/>
    <col min="8458" max="8458" width="82.42578125" style="115" customWidth="1"/>
    <col min="8459" max="8459" width="17.28515625" style="115" customWidth="1"/>
    <col min="8460" max="8462" width="14.140625" style="115" bestFit="1" customWidth="1"/>
    <col min="8463" max="8463" width="12" style="115" bestFit="1" customWidth="1"/>
    <col min="8464" max="8704" width="9.140625" style="115"/>
    <col min="8705" max="8705" width="6" style="115" bestFit="1" customWidth="1"/>
    <col min="8706" max="8706" width="80.28515625" style="115" customWidth="1"/>
    <col min="8707" max="8710" width="20.5703125" style="115" customWidth="1"/>
    <col min="8711" max="8711" width="6" style="115" bestFit="1" customWidth="1"/>
    <col min="8712" max="8712" width="18.85546875" style="115" bestFit="1" customWidth="1"/>
    <col min="8713" max="8713" width="9.140625" style="115"/>
    <col min="8714" max="8714" width="82.42578125" style="115" customWidth="1"/>
    <col min="8715" max="8715" width="17.28515625" style="115" customWidth="1"/>
    <col min="8716" max="8718" width="14.140625" style="115" bestFit="1" customWidth="1"/>
    <col min="8719" max="8719" width="12" style="115" bestFit="1" customWidth="1"/>
    <col min="8720" max="8960" width="9.140625" style="115"/>
    <col min="8961" max="8961" width="6" style="115" bestFit="1" customWidth="1"/>
    <col min="8962" max="8962" width="80.28515625" style="115" customWidth="1"/>
    <col min="8963" max="8966" width="20.5703125" style="115" customWidth="1"/>
    <col min="8967" max="8967" width="6" style="115" bestFit="1" customWidth="1"/>
    <col min="8968" max="8968" width="18.85546875" style="115" bestFit="1" customWidth="1"/>
    <col min="8969" max="8969" width="9.140625" style="115"/>
    <col min="8970" max="8970" width="82.42578125" style="115" customWidth="1"/>
    <col min="8971" max="8971" width="17.28515625" style="115" customWidth="1"/>
    <col min="8972" max="8974" width="14.140625" style="115" bestFit="1" customWidth="1"/>
    <col min="8975" max="8975" width="12" style="115" bestFit="1" customWidth="1"/>
    <col min="8976" max="9216" width="9.140625" style="115"/>
    <col min="9217" max="9217" width="6" style="115" bestFit="1" customWidth="1"/>
    <col min="9218" max="9218" width="80.28515625" style="115" customWidth="1"/>
    <col min="9219" max="9222" width="20.5703125" style="115" customWidth="1"/>
    <col min="9223" max="9223" width="6" style="115" bestFit="1" customWidth="1"/>
    <col min="9224" max="9224" width="18.85546875" style="115" bestFit="1" customWidth="1"/>
    <col min="9225" max="9225" width="9.140625" style="115"/>
    <col min="9226" max="9226" width="82.42578125" style="115" customWidth="1"/>
    <col min="9227" max="9227" width="17.28515625" style="115" customWidth="1"/>
    <col min="9228" max="9230" width="14.140625" style="115" bestFit="1" customWidth="1"/>
    <col min="9231" max="9231" width="12" style="115" bestFit="1" customWidth="1"/>
    <col min="9232" max="9472" width="9.140625" style="115"/>
    <col min="9473" max="9473" width="6" style="115" bestFit="1" customWidth="1"/>
    <col min="9474" max="9474" width="80.28515625" style="115" customWidth="1"/>
    <col min="9475" max="9478" width="20.5703125" style="115" customWidth="1"/>
    <col min="9479" max="9479" width="6" style="115" bestFit="1" customWidth="1"/>
    <col min="9480" max="9480" width="18.85546875" style="115" bestFit="1" customWidth="1"/>
    <col min="9481" max="9481" width="9.140625" style="115"/>
    <col min="9482" max="9482" width="82.42578125" style="115" customWidth="1"/>
    <col min="9483" max="9483" width="17.28515625" style="115" customWidth="1"/>
    <col min="9484" max="9486" width="14.140625" style="115" bestFit="1" customWidth="1"/>
    <col min="9487" max="9487" width="12" style="115" bestFit="1" customWidth="1"/>
    <col min="9488" max="9728" width="9.140625" style="115"/>
    <col min="9729" max="9729" width="6" style="115" bestFit="1" customWidth="1"/>
    <col min="9730" max="9730" width="80.28515625" style="115" customWidth="1"/>
    <col min="9731" max="9734" width="20.5703125" style="115" customWidth="1"/>
    <col min="9735" max="9735" width="6" style="115" bestFit="1" customWidth="1"/>
    <col min="9736" max="9736" width="18.85546875" style="115" bestFit="1" customWidth="1"/>
    <col min="9737" max="9737" width="9.140625" style="115"/>
    <col min="9738" max="9738" width="82.42578125" style="115" customWidth="1"/>
    <col min="9739" max="9739" width="17.28515625" style="115" customWidth="1"/>
    <col min="9740" max="9742" width="14.140625" style="115" bestFit="1" customWidth="1"/>
    <col min="9743" max="9743" width="12" style="115" bestFit="1" customWidth="1"/>
    <col min="9744" max="9984" width="9.140625" style="115"/>
    <col min="9985" max="9985" width="6" style="115" bestFit="1" customWidth="1"/>
    <col min="9986" max="9986" width="80.28515625" style="115" customWidth="1"/>
    <col min="9987" max="9990" width="20.5703125" style="115" customWidth="1"/>
    <col min="9991" max="9991" width="6" style="115" bestFit="1" customWidth="1"/>
    <col min="9992" max="9992" width="18.85546875" style="115" bestFit="1" customWidth="1"/>
    <col min="9993" max="9993" width="9.140625" style="115"/>
    <col min="9994" max="9994" width="82.42578125" style="115" customWidth="1"/>
    <col min="9995" max="9995" width="17.28515625" style="115" customWidth="1"/>
    <col min="9996" max="9998" width="14.140625" style="115" bestFit="1" customWidth="1"/>
    <col min="9999" max="9999" width="12" style="115" bestFit="1" customWidth="1"/>
    <col min="10000" max="10240" width="9.140625" style="115"/>
    <col min="10241" max="10241" width="6" style="115" bestFit="1" customWidth="1"/>
    <col min="10242" max="10242" width="80.28515625" style="115" customWidth="1"/>
    <col min="10243" max="10246" width="20.5703125" style="115" customWidth="1"/>
    <col min="10247" max="10247" width="6" style="115" bestFit="1" customWidth="1"/>
    <col min="10248" max="10248" width="18.85546875" style="115" bestFit="1" customWidth="1"/>
    <col min="10249" max="10249" width="9.140625" style="115"/>
    <col min="10250" max="10250" width="82.42578125" style="115" customWidth="1"/>
    <col min="10251" max="10251" width="17.28515625" style="115" customWidth="1"/>
    <col min="10252" max="10254" width="14.140625" style="115" bestFit="1" customWidth="1"/>
    <col min="10255" max="10255" width="12" style="115" bestFit="1" customWidth="1"/>
    <col min="10256" max="10496" width="9.140625" style="115"/>
    <col min="10497" max="10497" width="6" style="115" bestFit="1" customWidth="1"/>
    <col min="10498" max="10498" width="80.28515625" style="115" customWidth="1"/>
    <col min="10499" max="10502" width="20.5703125" style="115" customWidth="1"/>
    <col min="10503" max="10503" width="6" style="115" bestFit="1" customWidth="1"/>
    <col min="10504" max="10504" width="18.85546875" style="115" bestFit="1" customWidth="1"/>
    <col min="10505" max="10505" width="9.140625" style="115"/>
    <col min="10506" max="10506" width="82.42578125" style="115" customWidth="1"/>
    <col min="10507" max="10507" width="17.28515625" style="115" customWidth="1"/>
    <col min="10508" max="10510" width="14.140625" style="115" bestFit="1" customWidth="1"/>
    <col min="10511" max="10511" width="12" style="115" bestFit="1" customWidth="1"/>
    <col min="10512" max="10752" width="9.140625" style="115"/>
    <col min="10753" max="10753" width="6" style="115" bestFit="1" customWidth="1"/>
    <col min="10754" max="10754" width="80.28515625" style="115" customWidth="1"/>
    <col min="10755" max="10758" width="20.5703125" style="115" customWidth="1"/>
    <col min="10759" max="10759" width="6" style="115" bestFit="1" customWidth="1"/>
    <col min="10760" max="10760" width="18.85546875" style="115" bestFit="1" customWidth="1"/>
    <col min="10761" max="10761" width="9.140625" style="115"/>
    <col min="10762" max="10762" width="82.42578125" style="115" customWidth="1"/>
    <col min="10763" max="10763" width="17.28515625" style="115" customWidth="1"/>
    <col min="10764" max="10766" width="14.140625" style="115" bestFit="1" customWidth="1"/>
    <col min="10767" max="10767" width="12" style="115" bestFit="1" customWidth="1"/>
    <col min="10768" max="11008" width="9.140625" style="115"/>
    <col min="11009" max="11009" width="6" style="115" bestFit="1" customWidth="1"/>
    <col min="11010" max="11010" width="80.28515625" style="115" customWidth="1"/>
    <col min="11011" max="11014" width="20.5703125" style="115" customWidth="1"/>
    <col min="11015" max="11015" width="6" style="115" bestFit="1" customWidth="1"/>
    <col min="11016" max="11016" width="18.85546875" style="115" bestFit="1" customWidth="1"/>
    <col min="11017" max="11017" width="9.140625" style="115"/>
    <col min="11018" max="11018" width="82.42578125" style="115" customWidth="1"/>
    <col min="11019" max="11019" width="17.28515625" style="115" customWidth="1"/>
    <col min="11020" max="11022" width="14.140625" style="115" bestFit="1" customWidth="1"/>
    <col min="11023" max="11023" width="12" style="115" bestFit="1" customWidth="1"/>
    <col min="11024" max="11264" width="9.140625" style="115"/>
    <col min="11265" max="11265" width="6" style="115" bestFit="1" customWidth="1"/>
    <col min="11266" max="11266" width="80.28515625" style="115" customWidth="1"/>
    <col min="11267" max="11270" width="20.5703125" style="115" customWidth="1"/>
    <col min="11271" max="11271" width="6" style="115" bestFit="1" customWidth="1"/>
    <col min="11272" max="11272" width="18.85546875" style="115" bestFit="1" customWidth="1"/>
    <col min="11273" max="11273" width="9.140625" style="115"/>
    <col min="11274" max="11274" width="82.42578125" style="115" customWidth="1"/>
    <col min="11275" max="11275" width="17.28515625" style="115" customWidth="1"/>
    <col min="11276" max="11278" width="14.140625" style="115" bestFit="1" customWidth="1"/>
    <col min="11279" max="11279" width="12" style="115" bestFit="1" customWidth="1"/>
    <col min="11280" max="11520" width="9.140625" style="115"/>
    <col min="11521" max="11521" width="6" style="115" bestFit="1" customWidth="1"/>
    <col min="11522" max="11522" width="80.28515625" style="115" customWidth="1"/>
    <col min="11523" max="11526" width="20.5703125" style="115" customWidth="1"/>
    <col min="11527" max="11527" width="6" style="115" bestFit="1" customWidth="1"/>
    <col min="11528" max="11528" width="18.85546875" style="115" bestFit="1" customWidth="1"/>
    <col min="11529" max="11529" width="9.140625" style="115"/>
    <col min="11530" max="11530" width="82.42578125" style="115" customWidth="1"/>
    <col min="11531" max="11531" width="17.28515625" style="115" customWidth="1"/>
    <col min="11532" max="11534" width="14.140625" style="115" bestFit="1" customWidth="1"/>
    <col min="11535" max="11535" width="12" style="115" bestFit="1" customWidth="1"/>
    <col min="11536" max="11776" width="9.140625" style="115"/>
    <col min="11777" max="11777" width="6" style="115" bestFit="1" customWidth="1"/>
    <col min="11778" max="11778" width="80.28515625" style="115" customWidth="1"/>
    <col min="11779" max="11782" width="20.5703125" style="115" customWidth="1"/>
    <col min="11783" max="11783" width="6" style="115" bestFit="1" customWidth="1"/>
    <col min="11784" max="11784" width="18.85546875" style="115" bestFit="1" customWidth="1"/>
    <col min="11785" max="11785" width="9.140625" style="115"/>
    <col min="11786" max="11786" width="82.42578125" style="115" customWidth="1"/>
    <col min="11787" max="11787" width="17.28515625" style="115" customWidth="1"/>
    <col min="11788" max="11790" width="14.140625" style="115" bestFit="1" customWidth="1"/>
    <col min="11791" max="11791" width="12" style="115" bestFit="1" customWidth="1"/>
    <col min="11792" max="12032" width="9.140625" style="115"/>
    <col min="12033" max="12033" width="6" style="115" bestFit="1" customWidth="1"/>
    <col min="12034" max="12034" width="80.28515625" style="115" customWidth="1"/>
    <col min="12035" max="12038" width="20.5703125" style="115" customWidth="1"/>
    <col min="12039" max="12039" width="6" style="115" bestFit="1" customWidth="1"/>
    <col min="12040" max="12040" width="18.85546875" style="115" bestFit="1" customWidth="1"/>
    <col min="12041" max="12041" width="9.140625" style="115"/>
    <col min="12042" max="12042" width="82.42578125" style="115" customWidth="1"/>
    <col min="12043" max="12043" width="17.28515625" style="115" customWidth="1"/>
    <col min="12044" max="12046" width="14.140625" style="115" bestFit="1" customWidth="1"/>
    <col min="12047" max="12047" width="12" style="115" bestFit="1" customWidth="1"/>
    <col min="12048" max="12288" width="9.140625" style="115"/>
    <col min="12289" max="12289" width="6" style="115" bestFit="1" customWidth="1"/>
    <col min="12290" max="12290" width="80.28515625" style="115" customWidth="1"/>
    <col min="12291" max="12294" width="20.5703125" style="115" customWidth="1"/>
    <col min="12295" max="12295" width="6" style="115" bestFit="1" customWidth="1"/>
    <col min="12296" max="12296" width="18.85546875" style="115" bestFit="1" customWidth="1"/>
    <col min="12297" max="12297" width="9.140625" style="115"/>
    <col min="12298" max="12298" width="82.42578125" style="115" customWidth="1"/>
    <col min="12299" max="12299" width="17.28515625" style="115" customWidth="1"/>
    <col min="12300" max="12302" width="14.140625" style="115" bestFit="1" customWidth="1"/>
    <col min="12303" max="12303" width="12" style="115" bestFit="1" customWidth="1"/>
    <col min="12304" max="12544" width="9.140625" style="115"/>
    <col min="12545" max="12545" width="6" style="115" bestFit="1" customWidth="1"/>
    <col min="12546" max="12546" width="80.28515625" style="115" customWidth="1"/>
    <col min="12547" max="12550" width="20.5703125" style="115" customWidth="1"/>
    <col min="12551" max="12551" width="6" style="115" bestFit="1" customWidth="1"/>
    <col min="12552" max="12552" width="18.85546875" style="115" bestFit="1" customWidth="1"/>
    <col min="12553" max="12553" width="9.140625" style="115"/>
    <col min="12554" max="12554" width="82.42578125" style="115" customWidth="1"/>
    <col min="12555" max="12555" width="17.28515625" style="115" customWidth="1"/>
    <col min="12556" max="12558" width="14.140625" style="115" bestFit="1" customWidth="1"/>
    <col min="12559" max="12559" width="12" style="115" bestFit="1" customWidth="1"/>
    <col min="12560" max="12800" width="9.140625" style="115"/>
    <col min="12801" max="12801" width="6" style="115" bestFit="1" customWidth="1"/>
    <col min="12802" max="12802" width="80.28515625" style="115" customWidth="1"/>
    <col min="12803" max="12806" width="20.5703125" style="115" customWidth="1"/>
    <col min="12807" max="12807" width="6" style="115" bestFit="1" customWidth="1"/>
    <col min="12808" max="12808" width="18.85546875" style="115" bestFit="1" customWidth="1"/>
    <col min="12809" max="12809" width="9.140625" style="115"/>
    <col min="12810" max="12810" width="82.42578125" style="115" customWidth="1"/>
    <col min="12811" max="12811" width="17.28515625" style="115" customWidth="1"/>
    <col min="12812" max="12814" width="14.140625" style="115" bestFit="1" customWidth="1"/>
    <col min="12815" max="12815" width="12" style="115" bestFit="1" customWidth="1"/>
    <col min="12816" max="13056" width="9.140625" style="115"/>
    <col min="13057" max="13057" width="6" style="115" bestFit="1" customWidth="1"/>
    <col min="13058" max="13058" width="80.28515625" style="115" customWidth="1"/>
    <col min="13059" max="13062" width="20.5703125" style="115" customWidth="1"/>
    <col min="13063" max="13063" width="6" style="115" bestFit="1" customWidth="1"/>
    <col min="13064" max="13064" width="18.85546875" style="115" bestFit="1" customWidth="1"/>
    <col min="13065" max="13065" width="9.140625" style="115"/>
    <col min="13066" max="13066" width="82.42578125" style="115" customWidth="1"/>
    <col min="13067" max="13067" width="17.28515625" style="115" customWidth="1"/>
    <col min="13068" max="13070" width="14.140625" style="115" bestFit="1" customWidth="1"/>
    <col min="13071" max="13071" width="12" style="115" bestFit="1" customWidth="1"/>
    <col min="13072" max="13312" width="9.140625" style="115"/>
    <col min="13313" max="13313" width="6" style="115" bestFit="1" customWidth="1"/>
    <col min="13314" max="13314" width="80.28515625" style="115" customWidth="1"/>
    <col min="13315" max="13318" width="20.5703125" style="115" customWidth="1"/>
    <col min="13319" max="13319" width="6" style="115" bestFit="1" customWidth="1"/>
    <col min="13320" max="13320" width="18.85546875" style="115" bestFit="1" customWidth="1"/>
    <col min="13321" max="13321" width="9.140625" style="115"/>
    <col min="13322" max="13322" width="82.42578125" style="115" customWidth="1"/>
    <col min="13323" max="13323" width="17.28515625" style="115" customWidth="1"/>
    <col min="13324" max="13326" width="14.140625" style="115" bestFit="1" customWidth="1"/>
    <col min="13327" max="13327" width="12" style="115" bestFit="1" customWidth="1"/>
    <col min="13328" max="13568" width="9.140625" style="115"/>
    <col min="13569" max="13569" width="6" style="115" bestFit="1" customWidth="1"/>
    <col min="13570" max="13570" width="80.28515625" style="115" customWidth="1"/>
    <col min="13571" max="13574" width="20.5703125" style="115" customWidth="1"/>
    <col min="13575" max="13575" width="6" style="115" bestFit="1" customWidth="1"/>
    <col min="13576" max="13576" width="18.85546875" style="115" bestFit="1" customWidth="1"/>
    <col min="13577" max="13577" width="9.140625" style="115"/>
    <col min="13578" max="13578" width="82.42578125" style="115" customWidth="1"/>
    <col min="13579" max="13579" width="17.28515625" style="115" customWidth="1"/>
    <col min="13580" max="13582" width="14.140625" style="115" bestFit="1" customWidth="1"/>
    <col min="13583" max="13583" width="12" style="115" bestFit="1" customWidth="1"/>
    <col min="13584" max="13824" width="9.140625" style="115"/>
    <col min="13825" max="13825" width="6" style="115" bestFit="1" customWidth="1"/>
    <col min="13826" max="13826" width="80.28515625" style="115" customWidth="1"/>
    <col min="13827" max="13830" width="20.5703125" style="115" customWidth="1"/>
    <col min="13831" max="13831" width="6" style="115" bestFit="1" customWidth="1"/>
    <col min="13832" max="13832" width="18.85546875" style="115" bestFit="1" customWidth="1"/>
    <col min="13833" max="13833" width="9.140625" style="115"/>
    <col min="13834" max="13834" width="82.42578125" style="115" customWidth="1"/>
    <col min="13835" max="13835" width="17.28515625" style="115" customWidth="1"/>
    <col min="13836" max="13838" width="14.140625" style="115" bestFit="1" customWidth="1"/>
    <col min="13839" max="13839" width="12" style="115" bestFit="1" customWidth="1"/>
    <col min="13840" max="14080" width="9.140625" style="115"/>
    <col min="14081" max="14081" width="6" style="115" bestFit="1" customWidth="1"/>
    <col min="14082" max="14082" width="80.28515625" style="115" customWidth="1"/>
    <col min="14083" max="14086" width="20.5703125" style="115" customWidth="1"/>
    <col min="14087" max="14087" width="6" style="115" bestFit="1" customWidth="1"/>
    <col min="14088" max="14088" width="18.85546875" style="115" bestFit="1" customWidth="1"/>
    <col min="14089" max="14089" width="9.140625" style="115"/>
    <col min="14090" max="14090" width="82.42578125" style="115" customWidth="1"/>
    <col min="14091" max="14091" width="17.28515625" style="115" customWidth="1"/>
    <col min="14092" max="14094" width="14.140625" style="115" bestFit="1" customWidth="1"/>
    <col min="14095" max="14095" width="12" style="115" bestFit="1" customWidth="1"/>
    <col min="14096" max="14336" width="9.140625" style="115"/>
    <col min="14337" max="14337" width="6" style="115" bestFit="1" customWidth="1"/>
    <col min="14338" max="14338" width="80.28515625" style="115" customWidth="1"/>
    <col min="14339" max="14342" width="20.5703125" style="115" customWidth="1"/>
    <col min="14343" max="14343" width="6" style="115" bestFit="1" customWidth="1"/>
    <col min="14344" max="14344" width="18.85546875" style="115" bestFit="1" customWidth="1"/>
    <col min="14345" max="14345" width="9.140625" style="115"/>
    <col min="14346" max="14346" width="82.42578125" style="115" customWidth="1"/>
    <col min="14347" max="14347" width="17.28515625" style="115" customWidth="1"/>
    <col min="14348" max="14350" width="14.140625" style="115" bestFit="1" customWidth="1"/>
    <col min="14351" max="14351" width="12" style="115" bestFit="1" customWidth="1"/>
    <col min="14352" max="14592" width="9.140625" style="115"/>
    <col min="14593" max="14593" width="6" style="115" bestFit="1" customWidth="1"/>
    <col min="14594" max="14594" width="80.28515625" style="115" customWidth="1"/>
    <col min="14595" max="14598" width="20.5703125" style="115" customWidth="1"/>
    <col min="14599" max="14599" width="6" style="115" bestFit="1" customWidth="1"/>
    <col min="14600" max="14600" width="18.85546875" style="115" bestFit="1" customWidth="1"/>
    <col min="14601" max="14601" width="9.140625" style="115"/>
    <col min="14602" max="14602" width="82.42578125" style="115" customWidth="1"/>
    <col min="14603" max="14603" width="17.28515625" style="115" customWidth="1"/>
    <col min="14604" max="14606" width="14.140625" style="115" bestFit="1" customWidth="1"/>
    <col min="14607" max="14607" width="12" style="115" bestFit="1" customWidth="1"/>
    <col min="14608" max="14848" width="9.140625" style="115"/>
    <col min="14849" max="14849" width="6" style="115" bestFit="1" customWidth="1"/>
    <col min="14850" max="14850" width="80.28515625" style="115" customWidth="1"/>
    <col min="14851" max="14854" width="20.5703125" style="115" customWidth="1"/>
    <col min="14855" max="14855" width="6" style="115" bestFit="1" customWidth="1"/>
    <col min="14856" max="14856" width="18.85546875" style="115" bestFit="1" customWidth="1"/>
    <col min="14857" max="14857" width="9.140625" style="115"/>
    <col min="14858" max="14858" width="82.42578125" style="115" customWidth="1"/>
    <col min="14859" max="14859" width="17.28515625" style="115" customWidth="1"/>
    <col min="14860" max="14862" width="14.140625" style="115" bestFit="1" customWidth="1"/>
    <col min="14863" max="14863" width="12" style="115" bestFit="1" customWidth="1"/>
    <col min="14864" max="15104" width="9.140625" style="115"/>
    <col min="15105" max="15105" width="6" style="115" bestFit="1" customWidth="1"/>
    <col min="15106" max="15106" width="80.28515625" style="115" customWidth="1"/>
    <col min="15107" max="15110" width="20.5703125" style="115" customWidth="1"/>
    <col min="15111" max="15111" width="6" style="115" bestFit="1" customWidth="1"/>
    <col min="15112" max="15112" width="18.85546875" style="115" bestFit="1" customWidth="1"/>
    <col min="15113" max="15113" width="9.140625" style="115"/>
    <col min="15114" max="15114" width="82.42578125" style="115" customWidth="1"/>
    <col min="15115" max="15115" width="17.28515625" style="115" customWidth="1"/>
    <col min="15116" max="15118" width="14.140625" style="115" bestFit="1" customWidth="1"/>
    <col min="15119" max="15119" width="12" style="115" bestFit="1" customWidth="1"/>
    <col min="15120" max="15360" width="9.140625" style="115"/>
    <col min="15361" max="15361" width="6" style="115" bestFit="1" customWidth="1"/>
    <col min="15362" max="15362" width="80.28515625" style="115" customWidth="1"/>
    <col min="15363" max="15366" width="20.5703125" style="115" customWidth="1"/>
    <col min="15367" max="15367" width="6" style="115" bestFit="1" customWidth="1"/>
    <col min="15368" max="15368" width="18.85546875" style="115" bestFit="1" customWidth="1"/>
    <col min="15369" max="15369" width="9.140625" style="115"/>
    <col min="15370" max="15370" width="82.42578125" style="115" customWidth="1"/>
    <col min="15371" max="15371" width="17.28515625" style="115" customWidth="1"/>
    <col min="15372" max="15374" width="14.140625" style="115" bestFit="1" customWidth="1"/>
    <col min="15375" max="15375" width="12" style="115" bestFit="1" customWidth="1"/>
    <col min="15376" max="15616" width="9.140625" style="115"/>
    <col min="15617" max="15617" width="6" style="115" bestFit="1" customWidth="1"/>
    <col min="15618" max="15618" width="80.28515625" style="115" customWidth="1"/>
    <col min="15619" max="15622" width="20.5703125" style="115" customWidth="1"/>
    <col min="15623" max="15623" width="6" style="115" bestFit="1" customWidth="1"/>
    <col min="15624" max="15624" width="18.85546875" style="115" bestFit="1" customWidth="1"/>
    <col min="15625" max="15625" width="9.140625" style="115"/>
    <col min="15626" max="15626" width="82.42578125" style="115" customWidth="1"/>
    <col min="15627" max="15627" width="17.28515625" style="115" customWidth="1"/>
    <col min="15628" max="15630" width="14.140625" style="115" bestFit="1" customWidth="1"/>
    <col min="15631" max="15631" width="12" style="115" bestFit="1" customWidth="1"/>
    <col min="15632" max="15872" width="9.140625" style="115"/>
    <col min="15873" max="15873" width="6" style="115" bestFit="1" customWidth="1"/>
    <col min="15874" max="15874" width="80.28515625" style="115" customWidth="1"/>
    <col min="15875" max="15878" width="20.5703125" style="115" customWidth="1"/>
    <col min="15879" max="15879" width="6" style="115" bestFit="1" customWidth="1"/>
    <col min="15880" max="15880" width="18.85546875" style="115" bestFit="1" customWidth="1"/>
    <col min="15881" max="15881" width="9.140625" style="115"/>
    <col min="15882" max="15882" width="82.42578125" style="115" customWidth="1"/>
    <col min="15883" max="15883" width="17.28515625" style="115" customWidth="1"/>
    <col min="15884" max="15886" width="14.140625" style="115" bestFit="1" customWidth="1"/>
    <col min="15887" max="15887" width="12" style="115" bestFit="1" customWidth="1"/>
    <col min="15888" max="16128" width="9.140625" style="115"/>
    <col min="16129" max="16129" width="6" style="115" bestFit="1" customWidth="1"/>
    <col min="16130" max="16130" width="80.28515625" style="115" customWidth="1"/>
    <col min="16131" max="16134" width="20.5703125" style="115" customWidth="1"/>
    <col min="16135" max="16135" width="6" style="115" bestFit="1" customWidth="1"/>
    <col min="16136" max="16136" width="18.85546875" style="115" bestFit="1" customWidth="1"/>
    <col min="16137" max="16137" width="9.140625" style="115"/>
    <col min="16138" max="16138" width="82.42578125" style="115" customWidth="1"/>
    <col min="16139" max="16139" width="17.28515625" style="115" customWidth="1"/>
    <col min="16140" max="16142" width="14.140625" style="115" bestFit="1" customWidth="1"/>
    <col min="16143" max="16143" width="12" style="115" bestFit="1" customWidth="1"/>
    <col min="16144" max="16384" width="9.140625" style="115"/>
  </cols>
  <sheetData>
    <row r="1" spans="1:12" ht="16.5" thickBot="1" x14ac:dyDescent="0.3">
      <c r="A1" s="15" t="s">
        <v>10</v>
      </c>
      <c r="B1" s="109" t="s">
        <v>12</v>
      </c>
      <c r="C1" s="109" t="s">
        <v>13</v>
      </c>
      <c r="D1" s="109" t="s">
        <v>14</v>
      </c>
      <c r="E1" s="109" t="s">
        <v>15</v>
      </c>
      <c r="F1" s="109" t="s">
        <v>16</v>
      </c>
      <c r="G1" s="15" t="s">
        <v>10</v>
      </c>
      <c r="H1" s="226" t="s">
        <v>179</v>
      </c>
    </row>
    <row r="2" spans="1:12" ht="15.75" x14ac:dyDescent="0.25">
      <c r="A2" s="14"/>
      <c r="B2" s="108"/>
      <c r="C2" s="108"/>
      <c r="D2" s="108"/>
      <c r="E2" s="108"/>
      <c r="F2" s="108"/>
      <c r="G2" s="14"/>
      <c r="H2" s="114"/>
      <c r="K2" s="227" t="s">
        <v>182</v>
      </c>
      <c r="L2" s="228"/>
    </row>
    <row r="3" spans="1:12" ht="15.75" x14ac:dyDescent="0.25">
      <c r="A3" s="14">
        <v>1</v>
      </c>
      <c r="B3" s="229" t="s">
        <v>183</v>
      </c>
      <c r="C3" s="230"/>
      <c r="D3" s="230"/>
      <c r="E3" s="6"/>
      <c r="F3" s="4"/>
      <c r="G3" s="14">
        <v>1</v>
      </c>
      <c r="H3" s="114"/>
      <c r="K3" s="231"/>
      <c r="L3" s="232"/>
    </row>
    <row r="4" spans="1:12" ht="15.75" x14ac:dyDescent="0.25">
      <c r="A4" s="14">
        <f t="shared" ref="A4:A67" si="0">A3+1</f>
        <v>2</v>
      </c>
      <c r="B4" s="233" t="s">
        <v>184</v>
      </c>
      <c r="C4" s="6">
        <v>15813958</v>
      </c>
      <c r="D4" s="16">
        <v>11.168141333570619</v>
      </c>
      <c r="E4" s="16">
        <f>D4*$C$146</f>
        <v>24.608039135087139</v>
      </c>
      <c r="F4" s="9">
        <f>E4*C4/1000</f>
        <v>389150.49734462437</v>
      </c>
      <c r="G4" s="14">
        <f t="shared" ref="G4:G67" si="1">G3+1</f>
        <v>2</v>
      </c>
      <c r="H4" s="114"/>
      <c r="K4" s="234" t="s">
        <v>185</v>
      </c>
      <c r="L4" s="235"/>
    </row>
    <row r="5" spans="1:12" ht="15.75" x14ac:dyDescent="0.25">
      <c r="A5" s="14">
        <f t="shared" si="0"/>
        <v>3</v>
      </c>
      <c r="B5" s="233" t="s">
        <v>186</v>
      </c>
      <c r="C5" s="6">
        <v>18669260.21571587</v>
      </c>
      <c r="D5" s="16">
        <v>0.53999950815720854</v>
      </c>
      <c r="E5" s="16">
        <f>D5*$C$146</f>
        <v>1.1898424843278663</v>
      </c>
      <c r="F5" s="9">
        <f>E5*C5/1000</f>
        <v>22213.47895563077</v>
      </c>
      <c r="G5" s="14">
        <f t="shared" si="1"/>
        <v>3</v>
      </c>
      <c r="H5" s="114"/>
      <c r="K5" s="236" t="s">
        <v>48</v>
      </c>
      <c r="L5" s="237">
        <v>10059.268047383826</v>
      </c>
    </row>
    <row r="6" spans="1:12" ht="15.75" x14ac:dyDescent="0.25">
      <c r="A6" s="14">
        <f t="shared" si="0"/>
        <v>4</v>
      </c>
      <c r="B6" s="233" t="s">
        <v>187</v>
      </c>
      <c r="C6" s="18">
        <v>45984509.679757245</v>
      </c>
      <c r="D6" s="17">
        <v>3.8389453355053407</v>
      </c>
      <c r="E6" s="17">
        <f>D6*$C$146</f>
        <v>8.4587859547952693</v>
      </c>
      <c r="F6" s="110">
        <f>E6*C6/1000</f>
        <v>388973.1246172777</v>
      </c>
      <c r="G6" s="14">
        <f t="shared" si="1"/>
        <v>4</v>
      </c>
      <c r="H6" s="238"/>
      <c r="K6" s="236" t="s">
        <v>49</v>
      </c>
      <c r="L6" s="239">
        <v>15424.852960048362</v>
      </c>
    </row>
    <row r="7" spans="1:12" ht="15.75" x14ac:dyDescent="0.25">
      <c r="A7" s="14">
        <f t="shared" si="0"/>
        <v>5</v>
      </c>
      <c r="B7" s="233" t="s">
        <v>188</v>
      </c>
      <c r="C7" s="6"/>
      <c r="D7" s="6"/>
      <c r="E7" s="192"/>
      <c r="F7" s="9">
        <f>SUM(F4:F6)</f>
        <v>800337.10091753281</v>
      </c>
      <c r="G7" s="14">
        <f t="shared" si="1"/>
        <v>5</v>
      </c>
      <c r="H7" s="240">
        <f>SUM(F4:F6)-F7</f>
        <v>0</v>
      </c>
      <c r="K7" s="241" t="s">
        <v>2</v>
      </c>
      <c r="L7" s="237">
        <f>L5+L6</f>
        <v>25484.121007432186</v>
      </c>
    </row>
    <row r="8" spans="1:12" ht="15.75" x14ac:dyDescent="0.25">
      <c r="A8" s="14">
        <f t="shared" si="0"/>
        <v>6</v>
      </c>
      <c r="B8" s="229"/>
      <c r="C8" s="192"/>
      <c r="D8" s="192"/>
      <c r="E8" s="6"/>
      <c r="F8" s="111"/>
      <c r="G8" s="14">
        <f t="shared" si="1"/>
        <v>6</v>
      </c>
      <c r="H8" s="242"/>
      <c r="K8" s="231"/>
      <c r="L8" s="232"/>
    </row>
    <row r="9" spans="1:12" ht="15.75" x14ac:dyDescent="0.25">
      <c r="A9" s="14">
        <f t="shared" si="0"/>
        <v>7</v>
      </c>
      <c r="B9" s="229" t="s">
        <v>189</v>
      </c>
      <c r="C9" s="243"/>
      <c r="D9" s="243"/>
      <c r="E9" s="6"/>
      <c r="F9" s="111"/>
      <c r="G9" s="14">
        <f t="shared" si="1"/>
        <v>7</v>
      </c>
      <c r="H9" s="242"/>
      <c r="K9" s="244" t="s">
        <v>190</v>
      </c>
      <c r="L9" s="232"/>
    </row>
    <row r="10" spans="1:12" ht="15.75" x14ac:dyDescent="0.25">
      <c r="A10" s="14">
        <f t="shared" si="0"/>
        <v>8</v>
      </c>
      <c r="B10" s="233" t="s">
        <v>184</v>
      </c>
      <c r="C10" s="6"/>
      <c r="D10" s="16"/>
      <c r="E10" s="16"/>
      <c r="F10" s="9"/>
      <c r="G10" s="14">
        <f t="shared" si="1"/>
        <v>8</v>
      </c>
      <c r="H10" s="242"/>
      <c r="K10" s="236" t="s">
        <v>48</v>
      </c>
      <c r="L10" s="245">
        <v>0.66309222425318726</v>
      </c>
    </row>
    <row r="11" spans="1:12" ht="15.75" x14ac:dyDescent="0.25">
      <c r="A11" s="14">
        <f t="shared" si="0"/>
        <v>9</v>
      </c>
      <c r="B11" s="233" t="s">
        <v>21</v>
      </c>
      <c r="C11" s="6"/>
      <c r="D11" s="16"/>
      <c r="E11" s="16"/>
      <c r="F11" s="9"/>
      <c r="G11" s="14">
        <f t="shared" si="1"/>
        <v>9</v>
      </c>
      <c r="H11" s="242"/>
      <c r="K11" s="236" t="s">
        <v>49</v>
      </c>
      <c r="L11" s="246">
        <v>0.72116989289434841</v>
      </c>
    </row>
    <row r="12" spans="1:12" ht="15.75" x14ac:dyDescent="0.25">
      <c r="A12" s="14">
        <f t="shared" si="0"/>
        <v>10</v>
      </c>
      <c r="B12" s="233" t="s">
        <v>191</v>
      </c>
      <c r="C12" s="6">
        <v>705738.11501777347</v>
      </c>
      <c r="D12" s="16">
        <v>15.129233041101864</v>
      </c>
      <c r="E12" s="16">
        <f>D12*$C$146</f>
        <v>33.335964117876905</v>
      </c>
      <c r="F12" s="9">
        <f>E12*C12/1000</f>
        <v>23526.460478850582</v>
      </c>
      <c r="G12" s="14">
        <f t="shared" si="1"/>
        <v>10</v>
      </c>
      <c r="H12" s="242"/>
      <c r="K12" s="236"/>
      <c r="L12" s="247"/>
    </row>
    <row r="13" spans="1:12" ht="15.75" x14ac:dyDescent="0.25">
      <c r="A13" s="14">
        <f t="shared" si="0"/>
        <v>11</v>
      </c>
      <c r="B13" s="233" t="s">
        <v>192</v>
      </c>
      <c r="C13" s="6">
        <v>750661.04640159721</v>
      </c>
      <c r="D13" s="16">
        <v>30.381846952687578</v>
      </c>
      <c r="E13" s="16">
        <f>D13*$C$146</f>
        <v>66.943787374951953</v>
      </c>
      <c r="F13" s="9">
        <f>E13*C13/1000</f>
        <v>50252.093480967465</v>
      </c>
      <c r="G13" s="14">
        <f t="shared" si="1"/>
        <v>11</v>
      </c>
      <c r="H13" s="242"/>
      <c r="K13" s="234" t="s">
        <v>193</v>
      </c>
      <c r="L13" s="235"/>
    </row>
    <row r="14" spans="1:12" ht="15.75" x14ac:dyDescent="0.25">
      <c r="A14" s="14">
        <f t="shared" si="0"/>
        <v>12</v>
      </c>
      <c r="B14" s="233" t="s">
        <v>194</v>
      </c>
      <c r="C14" s="6">
        <v>133160.86347121501</v>
      </c>
      <c r="D14" s="16">
        <v>74.034539244800499</v>
      </c>
      <c r="E14" s="16">
        <f>D14*$C$146</f>
        <v>163.12874136073677</v>
      </c>
      <c r="F14" s="9">
        <f>E14*C14/1000</f>
        <v>21722.364056568214</v>
      </c>
      <c r="G14" s="14">
        <f t="shared" si="1"/>
        <v>12</v>
      </c>
      <c r="H14" s="242"/>
      <c r="K14" s="236" t="s">
        <v>48</v>
      </c>
      <c r="L14" s="235">
        <v>2.212620932576247E-2</v>
      </c>
    </row>
    <row r="15" spans="1:12" ht="15.75" x14ac:dyDescent="0.25">
      <c r="A15" s="14">
        <f t="shared" si="0"/>
        <v>13</v>
      </c>
      <c r="B15" s="233" t="s">
        <v>195</v>
      </c>
      <c r="C15" s="18">
        <v>9751.9207943223191</v>
      </c>
      <c r="D15" s="17">
        <v>111.65187568385967</v>
      </c>
      <c r="E15" s="17">
        <f>D15*$C$146</f>
        <v>246.0153076748247</v>
      </c>
      <c r="F15" s="110">
        <f>E15*C15/1000</f>
        <v>2399.121794635726</v>
      </c>
      <c r="G15" s="14">
        <f t="shared" si="1"/>
        <v>13</v>
      </c>
      <c r="H15" s="242"/>
      <c r="K15" s="236" t="s">
        <v>49</v>
      </c>
      <c r="L15" s="235">
        <v>0.22435932199515685</v>
      </c>
    </row>
    <row r="16" spans="1:12" ht="15.75" x14ac:dyDescent="0.25">
      <c r="A16" s="14">
        <f t="shared" si="0"/>
        <v>14</v>
      </c>
      <c r="B16" s="233" t="s">
        <v>42</v>
      </c>
      <c r="C16" s="6">
        <f>SUM(C12:C15)</f>
        <v>1599311.9456849082</v>
      </c>
      <c r="D16" s="16">
        <v>27.78136496374352</v>
      </c>
      <c r="E16" s="16">
        <f>D16*$C$146</f>
        <v>61.213848914944556</v>
      </c>
      <c r="F16" s="9">
        <f>E16*C16/1000</f>
        <v>97900.039811021983</v>
      </c>
      <c r="G16" s="14">
        <f t="shared" si="1"/>
        <v>14</v>
      </c>
      <c r="H16" s="240">
        <f>SUM(F12:F15)-F16</f>
        <v>0</v>
      </c>
      <c r="K16" s="234"/>
      <c r="L16" s="232"/>
    </row>
    <row r="17" spans="1:14" ht="15.75" x14ac:dyDescent="0.25">
      <c r="A17" s="14">
        <f t="shared" si="0"/>
        <v>15</v>
      </c>
      <c r="B17" s="233"/>
      <c r="C17" s="6"/>
      <c r="D17" s="16"/>
      <c r="E17" s="16"/>
      <c r="F17" s="9"/>
      <c r="G17" s="14">
        <f t="shared" si="1"/>
        <v>15</v>
      </c>
      <c r="H17" s="242"/>
      <c r="K17" s="234" t="s">
        <v>196</v>
      </c>
      <c r="L17" s="235"/>
    </row>
    <row r="18" spans="1:14" ht="15.75" x14ac:dyDescent="0.25">
      <c r="A18" s="14">
        <f t="shared" si="0"/>
        <v>16</v>
      </c>
      <c r="B18" s="233" t="s">
        <v>22</v>
      </c>
      <c r="C18" s="6"/>
      <c r="D18" s="16"/>
      <c r="E18" s="16"/>
      <c r="F18" s="9"/>
      <c r="G18" s="14">
        <f t="shared" si="1"/>
        <v>16</v>
      </c>
      <c r="H18" s="242"/>
      <c r="K18" s="236" t="s">
        <v>48</v>
      </c>
      <c r="L18" s="235">
        <f>L14*L10</f>
        <v>1.467171735611145E-2</v>
      </c>
    </row>
    <row r="19" spans="1:14" ht="16.5" thickBot="1" x14ac:dyDescent="0.3">
      <c r="A19" s="14">
        <f t="shared" si="0"/>
        <v>17</v>
      </c>
      <c r="B19" s="233" t="s">
        <v>191</v>
      </c>
      <c r="C19" s="6">
        <v>986.96635036069824</v>
      </c>
      <c r="D19" s="16">
        <v>37.967024878317297</v>
      </c>
      <c r="E19" s="16">
        <f>D19*$C$146</f>
        <v>83.657074722007621</v>
      </c>
      <c r="F19" s="9">
        <f>E19*C19/1000</f>
        <v>82.566717720232091</v>
      </c>
      <c r="G19" s="14">
        <f t="shared" si="1"/>
        <v>17</v>
      </c>
      <c r="H19" s="242"/>
      <c r="K19" s="248" t="s">
        <v>49</v>
      </c>
      <c r="L19" s="249">
        <f>L15*L11</f>
        <v>0.16180118821309589</v>
      </c>
    </row>
    <row r="20" spans="1:14" ht="15.75" x14ac:dyDescent="0.25">
      <c r="A20" s="14">
        <f t="shared" si="0"/>
        <v>18</v>
      </c>
      <c r="B20" s="233" t="s">
        <v>192</v>
      </c>
      <c r="C20" s="6">
        <v>206.3541882847006</v>
      </c>
      <c r="D20" s="16">
        <v>37.967024878317297</v>
      </c>
      <c r="E20" s="16">
        <f>D20*$C$146</f>
        <v>83.657074722007621</v>
      </c>
      <c r="F20" s="9">
        <f>E20*C20/1000</f>
        <v>17.262987748532428</v>
      </c>
      <c r="G20" s="14">
        <f t="shared" si="1"/>
        <v>18</v>
      </c>
      <c r="H20" s="242"/>
    </row>
    <row r="21" spans="1:14" ht="15.75" x14ac:dyDescent="0.25">
      <c r="A21" s="14">
        <f t="shared" si="0"/>
        <v>19</v>
      </c>
      <c r="B21" s="233" t="s">
        <v>194</v>
      </c>
      <c r="C21" s="6">
        <v>21.23776831844139</v>
      </c>
      <c r="D21" s="16">
        <v>37.967024878317297</v>
      </c>
      <c r="E21" s="16">
        <f>D21*$C$146</f>
        <v>83.657074722007621</v>
      </c>
      <c r="F21" s="9">
        <f>E21*C21/1000</f>
        <v>1.7766895711445374</v>
      </c>
      <c r="G21" s="14">
        <f t="shared" si="1"/>
        <v>19</v>
      </c>
      <c r="H21" s="242"/>
    </row>
    <row r="22" spans="1:14" ht="15.75" x14ac:dyDescent="0.25">
      <c r="A22" s="14">
        <f t="shared" si="0"/>
        <v>20</v>
      </c>
      <c r="B22" s="233" t="s">
        <v>195</v>
      </c>
      <c r="C22" s="18">
        <v>43.496008128197708</v>
      </c>
      <c r="D22" s="17">
        <v>48.992044250502062</v>
      </c>
      <c r="E22" s="17">
        <f>D22*$C$146</f>
        <v>107.94975692153317</v>
      </c>
      <c r="F22" s="110">
        <f>E22*C22/1000</f>
        <v>4.6953835044959735</v>
      </c>
      <c r="G22" s="14">
        <f t="shared" si="1"/>
        <v>20</v>
      </c>
      <c r="H22" s="242"/>
    </row>
    <row r="23" spans="1:14" ht="15.75" x14ac:dyDescent="0.25">
      <c r="A23" s="14">
        <f t="shared" si="0"/>
        <v>21</v>
      </c>
      <c r="B23" s="233" t="s">
        <v>43</v>
      </c>
      <c r="C23" s="6">
        <f>SUM(C19:C22)</f>
        <v>1258.0543150920378</v>
      </c>
      <c r="D23" s="16">
        <v>38.34820423319357</v>
      </c>
      <c r="E23" s="16">
        <f>D23*$C$146</f>
        <v>84.496970654743251</v>
      </c>
      <c r="F23" s="9">
        <f>E23*C23/1000</f>
        <v>106.30177854440504</v>
      </c>
      <c r="G23" s="14">
        <f t="shared" si="1"/>
        <v>21</v>
      </c>
      <c r="H23" s="240">
        <f>SUM(F19:F22)-F23</f>
        <v>0</v>
      </c>
    </row>
    <row r="24" spans="1:14" ht="15.75" x14ac:dyDescent="0.25">
      <c r="A24" s="14">
        <f t="shared" si="0"/>
        <v>22</v>
      </c>
      <c r="B24" s="229"/>
      <c r="C24" s="192"/>
      <c r="D24" s="192"/>
      <c r="E24" s="6"/>
      <c r="F24" s="111"/>
      <c r="G24" s="14">
        <f t="shared" si="1"/>
        <v>22</v>
      </c>
      <c r="H24" s="242"/>
    </row>
    <row r="25" spans="1:14" ht="15.75" x14ac:dyDescent="0.25">
      <c r="A25" s="14">
        <f t="shared" si="0"/>
        <v>23</v>
      </c>
      <c r="B25" s="233" t="s">
        <v>186</v>
      </c>
      <c r="C25" s="192"/>
      <c r="D25" s="192"/>
      <c r="E25" s="6"/>
      <c r="F25" s="111"/>
      <c r="G25" s="14">
        <f t="shared" si="1"/>
        <v>23</v>
      </c>
      <c r="H25" s="242"/>
    </row>
    <row r="26" spans="1:14" ht="15.75" x14ac:dyDescent="0.25">
      <c r="A26" s="14">
        <f t="shared" si="0"/>
        <v>24</v>
      </c>
      <c r="B26" s="233" t="s">
        <v>21</v>
      </c>
      <c r="C26" s="6">
        <v>3807029.1756437747</v>
      </c>
      <c r="D26" s="16">
        <f>D28*D31/D33</f>
        <v>0.80663668918280707</v>
      </c>
      <c r="E26" s="16">
        <f>D26*$C$146</f>
        <v>1.777354585900587</v>
      </c>
      <c r="F26" s="9">
        <f>E26*C26/1000</f>
        <v>6766.4407639877945</v>
      </c>
      <c r="G26" s="14">
        <f t="shared" si="1"/>
        <v>24</v>
      </c>
      <c r="H26" s="242"/>
    </row>
    <row r="27" spans="1:14" ht="15.75" x14ac:dyDescent="0.25">
      <c r="A27" s="14">
        <f t="shared" si="0"/>
        <v>25</v>
      </c>
      <c r="B27" s="233" t="s">
        <v>22</v>
      </c>
      <c r="C27" s="18">
        <v>26930.280770211331</v>
      </c>
      <c r="D27" s="17">
        <f>D28*D32/D33</f>
        <v>0.80248179987921131</v>
      </c>
      <c r="E27" s="17">
        <f>D27*$C$146</f>
        <v>1.7681996445785693</v>
      </c>
      <c r="F27" s="110">
        <f>E27*C27/1000</f>
        <v>47.618112886288756</v>
      </c>
      <c r="G27" s="14">
        <f t="shared" si="1"/>
        <v>25</v>
      </c>
      <c r="H27" s="242"/>
    </row>
    <row r="28" spans="1:14" ht="15.75" x14ac:dyDescent="0.25">
      <c r="A28" s="14">
        <f t="shared" si="0"/>
        <v>26</v>
      </c>
      <c r="B28" s="233" t="s">
        <v>2</v>
      </c>
      <c r="C28" s="6">
        <f>C26+C27</f>
        <v>3833959.4564139862</v>
      </c>
      <c r="D28" s="16">
        <v>0.80659587521004006</v>
      </c>
      <c r="E28" s="16">
        <f>D28*$C$146</f>
        <v>1.7772646558209872</v>
      </c>
      <c r="F28" s="9">
        <f>E28*C28/1000</f>
        <v>6813.9606337352225</v>
      </c>
      <c r="G28" s="14">
        <f t="shared" si="1"/>
        <v>26</v>
      </c>
      <c r="H28" s="242"/>
      <c r="J28" s="250" t="s">
        <v>197</v>
      </c>
    </row>
    <row r="29" spans="1:14" ht="16.5" thickBot="1" x14ac:dyDescent="0.3">
      <c r="A29" s="14">
        <f t="shared" si="0"/>
        <v>27</v>
      </c>
      <c r="B29" s="229"/>
      <c r="C29" s="192"/>
      <c r="D29" s="192"/>
      <c r="E29" s="6"/>
      <c r="F29" s="111"/>
      <c r="G29" s="14">
        <f t="shared" si="1"/>
        <v>27</v>
      </c>
      <c r="H29" s="242"/>
    </row>
    <row r="30" spans="1:14" ht="15.75" x14ac:dyDescent="0.25">
      <c r="A30" s="14">
        <f t="shared" si="0"/>
        <v>28</v>
      </c>
      <c r="B30" s="233" t="s">
        <v>187</v>
      </c>
      <c r="C30" s="192"/>
      <c r="D30" s="192"/>
      <c r="E30" s="6"/>
      <c r="F30" s="111"/>
      <c r="G30" s="14">
        <f t="shared" si="1"/>
        <v>28</v>
      </c>
      <c r="H30" s="242"/>
      <c r="J30" s="124"/>
      <c r="K30" s="187"/>
      <c r="L30" s="187"/>
      <c r="M30" s="187"/>
      <c r="N30" s="251" t="s">
        <v>3</v>
      </c>
    </row>
    <row r="31" spans="1:14" ht="15.75" x14ac:dyDescent="0.25">
      <c r="A31" s="14">
        <f t="shared" si="0"/>
        <v>29</v>
      </c>
      <c r="B31" s="233" t="s">
        <v>21</v>
      </c>
      <c r="C31" s="6">
        <v>10289024.289784517</v>
      </c>
      <c r="D31" s="16">
        <v>5.2001682362454646</v>
      </c>
      <c r="E31" s="16">
        <f>D31*$C$146</f>
        <v>11.458123571727119</v>
      </c>
      <c r="F31" s="9">
        <f>E31*C31/1000</f>
        <v>117892.91174485286</v>
      </c>
      <c r="G31" s="14">
        <f t="shared" si="1"/>
        <v>29</v>
      </c>
      <c r="H31" s="242"/>
      <c r="J31" s="252"/>
      <c r="K31" s="108"/>
      <c r="L31" s="108"/>
      <c r="M31" s="108"/>
      <c r="N31" s="253" t="s">
        <v>0</v>
      </c>
    </row>
    <row r="32" spans="1:14" ht="15.75" x14ac:dyDescent="0.25">
      <c r="A32" s="14">
        <f t="shared" si="0"/>
        <v>30</v>
      </c>
      <c r="B32" s="233" t="s">
        <v>22</v>
      </c>
      <c r="C32" s="18">
        <v>102072.98685481893</v>
      </c>
      <c r="D32" s="17">
        <v>5.1733827903670191</v>
      </c>
      <c r="E32" s="17">
        <f>D32*$C$146</f>
        <v>11.399104144882456</v>
      </c>
      <c r="F32" s="110">
        <f>E32*C32/1000</f>
        <v>1163.5406075372989</v>
      </c>
      <c r="G32" s="14">
        <f t="shared" si="1"/>
        <v>30</v>
      </c>
      <c r="H32" s="242"/>
      <c r="J32" s="252"/>
      <c r="K32" s="108"/>
      <c r="L32" s="108" t="s">
        <v>1</v>
      </c>
      <c r="M32" s="108" t="s">
        <v>3</v>
      </c>
      <c r="N32" s="253" t="s">
        <v>4</v>
      </c>
    </row>
    <row r="33" spans="1:16" ht="15.75" x14ac:dyDescent="0.25">
      <c r="A33" s="14">
        <f t="shared" si="0"/>
        <v>31</v>
      </c>
      <c r="B33" s="233" t="s">
        <v>2</v>
      </c>
      <c r="C33" s="6">
        <f>C31+C32</f>
        <v>10391097.276639337</v>
      </c>
      <c r="D33" s="16">
        <v>5.199905119618581</v>
      </c>
      <c r="E33" s="16">
        <f>D33*$C$146</f>
        <v>11.457543816863884</v>
      </c>
      <c r="F33" s="9">
        <f>E33*C33/1000</f>
        <v>119056.45235239019</v>
      </c>
      <c r="G33" s="14">
        <f t="shared" si="1"/>
        <v>31</v>
      </c>
      <c r="H33" s="240">
        <f>SUM(F31:F32)-F33</f>
        <v>0</v>
      </c>
      <c r="J33" s="231"/>
      <c r="K33" s="108"/>
      <c r="L33" s="108" t="s">
        <v>0</v>
      </c>
      <c r="M33" s="108" t="s">
        <v>0</v>
      </c>
      <c r="N33" s="253" t="s">
        <v>6</v>
      </c>
    </row>
    <row r="34" spans="1:16" ht="15.75" x14ac:dyDescent="0.25">
      <c r="A34" s="14">
        <f t="shared" si="0"/>
        <v>32</v>
      </c>
      <c r="B34" s="233"/>
      <c r="C34" s="6"/>
      <c r="D34" s="192"/>
      <c r="E34" s="16"/>
      <c r="F34" s="9"/>
      <c r="G34" s="14">
        <f t="shared" si="1"/>
        <v>32</v>
      </c>
      <c r="H34" s="240"/>
      <c r="J34" s="252" t="s">
        <v>11</v>
      </c>
      <c r="K34" s="14" t="s">
        <v>181</v>
      </c>
      <c r="L34" s="108" t="s">
        <v>27</v>
      </c>
      <c r="M34" s="108" t="s">
        <v>27</v>
      </c>
      <c r="N34" s="254" t="s">
        <v>9</v>
      </c>
    </row>
    <row r="35" spans="1:16" ht="16.5" thickBot="1" x14ac:dyDescent="0.3">
      <c r="A35" s="14">
        <f t="shared" si="0"/>
        <v>33</v>
      </c>
      <c r="B35" s="233" t="s">
        <v>198</v>
      </c>
      <c r="C35" s="6"/>
      <c r="D35" s="192"/>
      <c r="E35" s="16"/>
      <c r="F35" s="9">
        <f>F16+F23+F28+F33</f>
        <v>223876.7545756918</v>
      </c>
      <c r="G35" s="14">
        <f t="shared" si="1"/>
        <v>33</v>
      </c>
      <c r="H35" s="240"/>
      <c r="J35" s="255" t="s">
        <v>12</v>
      </c>
      <c r="K35" s="109" t="s">
        <v>13</v>
      </c>
      <c r="L35" s="109" t="s">
        <v>14</v>
      </c>
      <c r="M35" s="109" t="s">
        <v>15</v>
      </c>
      <c r="N35" s="256" t="s">
        <v>16</v>
      </c>
    </row>
    <row r="36" spans="1:16" ht="15.75" x14ac:dyDescent="0.25">
      <c r="A36" s="14">
        <f t="shared" si="0"/>
        <v>34</v>
      </c>
      <c r="B36" s="229"/>
      <c r="C36" s="192"/>
      <c r="D36" s="192"/>
      <c r="E36" s="6"/>
      <c r="F36" s="111"/>
      <c r="G36" s="14">
        <f t="shared" si="1"/>
        <v>34</v>
      </c>
      <c r="H36" s="114"/>
      <c r="J36" s="231"/>
      <c r="K36" s="120"/>
      <c r="L36" s="120"/>
      <c r="M36" s="120"/>
      <c r="N36" s="232"/>
    </row>
    <row r="37" spans="1:16" ht="15.75" x14ac:dyDescent="0.25">
      <c r="A37" s="14">
        <f t="shared" si="0"/>
        <v>35</v>
      </c>
      <c r="B37" s="8" t="s">
        <v>199</v>
      </c>
      <c r="C37" s="243"/>
      <c r="D37" s="243"/>
      <c r="E37" s="6"/>
      <c r="F37" s="111"/>
      <c r="G37" s="14">
        <f t="shared" si="1"/>
        <v>35</v>
      </c>
      <c r="H37" s="114"/>
      <c r="J37" s="257" t="s">
        <v>200</v>
      </c>
      <c r="K37" s="120"/>
      <c r="L37" s="120"/>
      <c r="M37" s="120"/>
      <c r="N37" s="232"/>
    </row>
    <row r="38" spans="1:16" ht="15.75" x14ac:dyDescent="0.25">
      <c r="A38" s="14">
        <f t="shared" si="0"/>
        <v>36</v>
      </c>
      <c r="B38" s="233" t="s">
        <v>184</v>
      </c>
      <c r="C38" s="243"/>
      <c r="D38" s="243"/>
      <c r="E38" s="6"/>
      <c r="F38" s="9"/>
      <c r="G38" s="14">
        <f t="shared" si="1"/>
        <v>36</v>
      </c>
      <c r="H38" s="114"/>
      <c r="J38" s="258" t="s">
        <v>184</v>
      </c>
      <c r="K38" s="120"/>
      <c r="L38" s="120"/>
      <c r="M38" s="120"/>
      <c r="N38" s="232"/>
    </row>
    <row r="39" spans="1:16" ht="15.75" x14ac:dyDescent="0.25">
      <c r="A39" s="14">
        <f t="shared" si="0"/>
        <v>37</v>
      </c>
      <c r="B39" s="233" t="s">
        <v>21</v>
      </c>
      <c r="C39" s="243"/>
      <c r="D39" s="243"/>
      <c r="E39" s="6"/>
      <c r="F39" s="9"/>
      <c r="G39" s="14">
        <f t="shared" si="1"/>
        <v>37</v>
      </c>
      <c r="H39" s="114"/>
      <c r="J39" s="258" t="s">
        <v>21</v>
      </c>
      <c r="K39" s="243"/>
      <c r="L39" s="243"/>
      <c r="M39" s="6"/>
      <c r="N39" s="259"/>
    </row>
    <row r="40" spans="1:16" ht="15.75" x14ac:dyDescent="0.25">
      <c r="A40" s="14">
        <f t="shared" si="0"/>
        <v>38</v>
      </c>
      <c r="B40" s="233" t="s">
        <v>41</v>
      </c>
      <c r="C40" s="6">
        <v>231890.44575472455</v>
      </c>
      <c r="D40" s="260">
        <v>150.70034981032913</v>
      </c>
      <c r="E40" s="16">
        <f>D40*$C$146</f>
        <v>332.05526282664425</v>
      </c>
      <c r="F40" s="9">
        <f>E40*C40/1000</f>
        <v>77000.442912072744</v>
      </c>
      <c r="G40" s="14">
        <f t="shared" si="1"/>
        <v>38</v>
      </c>
      <c r="H40" s="261"/>
      <c r="J40" s="258" t="s">
        <v>41</v>
      </c>
      <c r="K40" s="6">
        <v>200229.50642149319</v>
      </c>
      <c r="L40" s="262">
        <v>150.46890668368505</v>
      </c>
      <c r="M40" s="16">
        <f>L40*$C$146</f>
        <v>331.54529779773787</v>
      </c>
      <c r="N40" s="259">
        <f>M40*K40/1000</f>
        <v>66385.15133440803</v>
      </c>
      <c r="P40" s="263"/>
    </row>
    <row r="41" spans="1:16" ht="15.75" x14ac:dyDescent="0.25">
      <c r="A41" s="14">
        <f t="shared" si="0"/>
        <v>39</v>
      </c>
      <c r="B41" s="233" t="s">
        <v>30</v>
      </c>
      <c r="C41" s="6">
        <v>6890.9650164086579</v>
      </c>
      <c r="D41" s="260">
        <v>362.51397053482032</v>
      </c>
      <c r="E41" s="16">
        <f>D41*$C$146</f>
        <v>798.76836328365005</v>
      </c>
      <c r="F41" s="9">
        <f>E41*C41/1000</f>
        <v>5504.2848476016343</v>
      </c>
      <c r="G41" s="14">
        <f t="shared" si="1"/>
        <v>39</v>
      </c>
      <c r="H41" s="261"/>
      <c r="J41" s="258" t="s">
        <v>30</v>
      </c>
      <c r="K41" s="6">
        <v>4890.353477019049</v>
      </c>
      <c r="L41" s="262">
        <v>362.65181089057631</v>
      </c>
      <c r="M41" s="16">
        <f>L41*$C$146</f>
        <v>799.07208265534553</v>
      </c>
      <c r="N41" s="259">
        <f>M41*K41/1000</f>
        <v>3907.7449378024216</v>
      </c>
    </row>
    <row r="42" spans="1:16" ht="15.75" x14ac:dyDescent="0.25">
      <c r="A42" s="14">
        <f t="shared" si="0"/>
        <v>40</v>
      </c>
      <c r="B42" s="233" t="s">
        <v>31</v>
      </c>
      <c r="C42" s="18"/>
      <c r="D42" s="264"/>
      <c r="E42" s="265"/>
      <c r="F42" s="110"/>
      <c r="G42" s="14">
        <f t="shared" si="1"/>
        <v>40</v>
      </c>
      <c r="H42" s="266"/>
      <c r="J42" s="258" t="s">
        <v>31</v>
      </c>
      <c r="K42" s="18"/>
      <c r="L42" s="264"/>
      <c r="M42" s="265"/>
      <c r="N42" s="267"/>
    </row>
    <row r="43" spans="1:16" ht="15.75" x14ac:dyDescent="0.25">
      <c r="A43" s="14">
        <f t="shared" si="0"/>
        <v>41</v>
      </c>
      <c r="B43" s="233" t="s">
        <v>42</v>
      </c>
      <c r="C43" s="6">
        <f>SUM(C40:C42)</f>
        <v>238781.4107711332</v>
      </c>
      <c r="D43" s="112">
        <v>156.81305450412253</v>
      </c>
      <c r="E43" s="16">
        <f>D43*$C$146</f>
        <v>345.52408201806531</v>
      </c>
      <c r="F43" s="9">
        <f>E43*C43/1000</f>
        <v>82504.727759674366</v>
      </c>
      <c r="G43" s="14">
        <f t="shared" si="1"/>
        <v>41</v>
      </c>
      <c r="H43" s="268">
        <f>SUM(F40:F42)-F43</f>
        <v>0</v>
      </c>
      <c r="J43" s="258" t="s">
        <v>42</v>
      </c>
      <c r="K43" s="6">
        <f>SUM(K40:K42)</f>
        <v>205119.85989851225</v>
      </c>
      <c r="L43" s="112">
        <f>(L40*K40+L41*K41)/K43</f>
        <v>155.52765332999013</v>
      </c>
      <c r="M43" s="16">
        <f>L43*$C$146</f>
        <v>342.69181105617696</v>
      </c>
      <c r="N43" s="259">
        <f>M43*K43/1000</f>
        <v>70292.896272210448</v>
      </c>
    </row>
    <row r="44" spans="1:16" ht="15.75" x14ac:dyDescent="0.25">
      <c r="A44" s="14">
        <f t="shared" si="0"/>
        <v>42</v>
      </c>
      <c r="B44" s="233"/>
      <c r="C44" s="6"/>
      <c r="D44" s="112"/>
      <c r="E44" s="16"/>
      <c r="F44" s="9"/>
      <c r="G44" s="14">
        <f t="shared" si="1"/>
        <v>42</v>
      </c>
      <c r="H44" s="266"/>
      <c r="J44" s="258"/>
      <c r="K44" s="6"/>
      <c r="L44" s="112"/>
      <c r="M44" s="16"/>
      <c r="N44" s="259"/>
    </row>
    <row r="45" spans="1:16" ht="15.75" x14ac:dyDescent="0.25">
      <c r="A45" s="14">
        <f t="shared" si="0"/>
        <v>43</v>
      </c>
      <c r="B45" s="233" t="s">
        <v>22</v>
      </c>
      <c r="C45" s="6"/>
      <c r="D45" s="112"/>
      <c r="E45" s="16"/>
      <c r="F45" s="9"/>
      <c r="G45" s="14">
        <f t="shared" si="1"/>
        <v>43</v>
      </c>
      <c r="H45" s="266"/>
      <c r="J45" s="258" t="s">
        <v>22</v>
      </c>
      <c r="K45" s="6"/>
      <c r="L45" s="112"/>
      <c r="M45" s="16"/>
      <c r="N45" s="259"/>
    </row>
    <row r="46" spans="1:16" ht="15.75" x14ac:dyDescent="0.25">
      <c r="A46" s="14">
        <f t="shared" si="0"/>
        <v>44</v>
      </c>
      <c r="B46" s="233" t="s">
        <v>41</v>
      </c>
      <c r="C46" s="6">
        <v>1790.8568493929424</v>
      </c>
      <c r="D46" s="112">
        <v>74.678050465346502</v>
      </c>
      <c r="E46" s="16">
        <f>D46*$C$146</f>
        <v>164.54666300285132</v>
      </c>
      <c r="F46" s="9">
        <f>E46*C46/1000</f>
        <v>294.67951848340857</v>
      </c>
      <c r="G46" s="14">
        <f t="shared" si="1"/>
        <v>44</v>
      </c>
      <c r="H46" s="266"/>
      <c r="J46" s="258" t="s">
        <v>41</v>
      </c>
      <c r="K46" s="6">
        <v>1116.1420085053214</v>
      </c>
      <c r="L46" s="112">
        <v>74.682822941129302</v>
      </c>
      <c r="M46" s="16">
        <f>L46*$C$146</f>
        <v>164.55717874287703</v>
      </c>
      <c r="N46" s="259">
        <f>M46*K46/1000</f>
        <v>183.66917999604394</v>
      </c>
    </row>
    <row r="47" spans="1:16" ht="15.75" x14ac:dyDescent="0.25">
      <c r="A47" s="14">
        <f t="shared" si="0"/>
        <v>45</v>
      </c>
      <c r="B47" s="233" t="s">
        <v>30</v>
      </c>
      <c r="C47" s="6">
        <v>2665.7180639652893</v>
      </c>
      <c r="D47" s="112">
        <v>82.716567449500928</v>
      </c>
      <c r="E47" s="16">
        <f>D47*$C$146</f>
        <v>182.25884398497462</v>
      </c>
      <c r="F47" s="9">
        <f>E47*C47/1000</f>
        <v>485.85069272817822</v>
      </c>
      <c r="G47" s="14">
        <f t="shared" si="1"/>
        <v>45</v>
      </c>
      <c r="H47" s="266"/>
      <c r="J47" s="258" t="s">
        <v>30</v>
      </c>
      <c r="K47" s="6">
        <v>1305.5882258175909</v>
      </c>
      <c r="L47" s="112">
        <v>82.684139466962677</v>
      </c>
      <c r="M47" s="16">
        <f>L47*$C$146</f>
        <v>182.18739171377399</v>
      </c>
      <c r="N47" s="259">
        <f>M47*K47/1000</f>
        <v>237.86171351392065</v>
      </c>
    </row>
    <row r="48" spans="1:16" ht="15.75" x14ac:dyDescent="0.25">
      <c r="A48" s="14">
        <f t="shared" si="0"/>
        <v>46</v>
      </c>
      <c r="B48" s="233" t="s">
        <v>31</v>
      </c>
      <c r="C48" s="18">
        <v>44.139522406141381</v>
      </c>
      <c r="D48" s="113">
        <v>105.8913995865731</v>
      </c>
      <c r="E48" s="17">
        <f>D48*$C$146</f>
        <v>233.32259390940524</v>
      </c>
      <c r="F48" s="110">
        <f>E48*C48/1000</f>
        <v>10.29874786172322</v>
      </c>
      <c r="G48" s="14">
        <f t="shared" si="1"/>
        <v>46</v>
      </c>
      <c r="H48" s="266"/>
      <c r="J48" s="258" t="s">
        <v>31</v>
      </c>
      <c r="K48" s="18">
        <v>13.557977379517661</v>
      </c>
      <c r="L48" s="113">
        <v>105.89139958657309</v>
      </c>
      <c r="M48" s="17">
        <f>L48*$C$146</f>
        <v>233.32259390940521</v>
      </c>
      <c r="N48" s="267">
        <f>M48*K48/1000</f>
        <v>3.163382450354101</v>
      </c>
    </row>
    <row r="49" spans="1:14" ht="15.75" x14ac:dyDescent="0.25">
      <c r="A49" s="14">
        <f t="shared" si="0"/>
        <v>47</v>
      </c>
      <c r="B49" s="233" t="s">
        <v>43</v>
      </c>
      <c r="C49" s="6">
        <f>SUM(C46:C48)</f>
        <v>4500.7144357643738</v>
      </c>
      <c r="D49" s="112">
        <v>79.745282030591554</v>
      </c>
      <c r="E49" s="16">
        <f>D49*$C$146</f>
        <v>175.71187205059823</v>
      </c>
      <c r="F49" s="9">
        <f>E49*C49/1000</f>
        <v>790.82895907330999</v>
      </c>
      <c r="G49" s="14">
        <f t="shared" si="1"/>
        <v>47</v>
      </c>
      <c r="H49" s="268">
        <f>SUM(F46:F48)-F49</f>
        <v>0</v>
      </c>
      <c r="J49" s="258" t="s">
        <v>43</v>
      </c>
      <c r="K49" s="6">
        <f>SUM(K46:K48)</f>
        <v>2435.2882117024296</v>
      </c>
      <c r="L49" s="112">
        <f>(L46*K46+L47*K47+K48*L48)/K49</f>
        <v>79.146175480324302</v>
      </c>
      <c r="M49" s="16">
        <f>L49*$C$146</f>
        <v>174.39179228130416</v>
      </c>
      <c r="N49" s="259">
        <f>M49*K49/1000</f>
        <v>424.69427596031881</v>
      </c>
    </row>
    <row r="50" spans="1:14" ht="15.75" x14ac:dyDescent="0.25">
      <c r="A50" s="14">
        <f t="shared" si="0"/>
        <v>48</v>
      </c>
      <c r="B50" s="233"/>
      <c r="C50" s="6"/>
      <c r="D50" s="112"/>
      <c r="E50" s="16"/>
      <c r="F50" s="9"/>
      <c r="G50" s="14">
        <f t="shared" si="1"/>
        <v>48</v>
      </c>
      <c r="H50" s="266"/>
      <c r="J50" s="258"/>
      <c r="K50" s="6"/>
      <c r="L50" s="112"/>
      <c r="M50" s="16"/>
      <c r="N50" s="259"/>
    </row>
    <row r="51" spans="1:14" ht="15.75" x14ac:dyDescent="0.25">
      <c r="A51" s="14">
        <f t="shared" si="0"/>
        <v>49</v>
      </c>
      <c r="B51" s="233" t="s">
        <v>24</v>
      </c>
      <c r="C51" s="6"/>
      <c r="D51" s="112"/>
      <c r="E51" s="16"/>
      <c r="F51" s="9"/>
      <c r="G51" s="14">
        <f t="shared" si="1"/>
        <v>49</v>
      </c>
      <c r="H51" s="266"/>
      <c r="J51" s="258" t="s">
        <v>24</v>
      </c>
      <c r="K51" s="6"/>
      <c r="L51" s="112"/>
      <c r="M51" s="16"/>
      <c r="N51" s="259"/>
    </row>
    <row r="52" spans="1:14" ht="15.75" x14ac:dyDescent="0.25">
      <c r="A52" s="14">
        <f t="shared" si="0"/>
        <v>50</v>
      </c>
      <c r="B52" s="233" t="s">
        <v>41</v>
      </c>
      <c r="C52" s="6">
        <v>132.42466062324118</v>
      </c>
      <c r="D52" s="112">
        <v>523.24051335526349</v>
      </c>
      <c r="E52" s="16">
        <f>D52*$C$146</f>
        <v>1152.9154803051536</v>
      </c>
      <c r="F52" s="9">
        <f>E52*C52/1000</f>
        <v>152.67444120669106</v>
      </c>
      <c r="G52" s="14">
        <f t="shared" si="1"/>
        <v>50</v>
      </c>
      <c r="H52" s="266"/>
      <c r="J52" s="258" t="s">
        <v>41</v>
      </c>
      <c r="K52" s="6">
        <v>105.05785668800402</v>
      </c>
      <c r="L52" s="112">
        <v>523.24051335526349</v>
      </c>
      <c r="M52" s="16">
        <f>L52*$C$146</f>
        <v>1152.9154803051536</v>
      </c>
      <c r="N52" s="259">
        <f>M52*K52/1000</f>
        <v>121.12282930328014</v>
      </c>
    </row>
    <row r="53" spans="1:14" ht="15.75" x14ac:dyDescent="0.25">
      <c r="A53" s="14">
        <f t="shared" si="0"/>
        <v>51</v>
      </c>
      <c r="B53" s="233" t="s">
        <v>30</v>
      </c>
      <c r="C53" s="6">
        <v>180.51784671799419</v>
      </c>
      <c r="D53" s="112">
        <v>778.68546425030877</v>
      </c>
      <c r="E53" s="16">
        <f>D53*$C$146</f>
        <v>1715.7664651499131</v>
      </c>
      <c r="F53" s="9">
        <f>E53*C53/1000</f>
        <v>309.72646775980672</v>
      </c>
      <c r="G53" s="14">
        <f t="shared" si="1"/>
        <v>51</v>
      </c>
      <c r="H53" s="266"/>
      <c r="J53" s="258" t="s">
        <v>30</v>
      </c>
      <c r="K53" s="6">
        <v>93.79403309731174</v>
      </c>
      <c r="L53" s="112">
        <v>815.01457757539947</v>
      </c>
      <c r="M53" s="16">
        <f>L53*$C$146</f>
        <v>1795.8145426003284</v>
      </c>
      <c r="N53" s="259">
        <f>M53*K53/1000</f>
        <v>168.43668864528897</v>
      </c>
    </row>
    <row r="54" spans="1:14" ht="15.75" x14ac:dyDescent="0.25">
      <c r="A54" s="14">
        <f t="shared" si="0"/>
        <v>52</v>
      </c>
      <c r="B54" s="233" t="s">
        <v>31</v>
      </c>
      <c r="C54" s="18">
        <v>51.816923151874093</v>
      </c>
      <c r="D54" s="113">
        <v>1120.8399933997232</v>
      </c>
      <c r="E54" s="17">
        <f>D54*$C$146</f>
        <v>2469.6745499488529</v>
      </c>
      <c r="F54" s="110">
        <f>E54*C54/1000</f>
        <v>127.97093636483895</v>
      </c>
      <c r="G54" s="14">
        <f t="shared" si="1"/>
        <v>52</v>
      </c>
      <c r="H54" s="266"/>
      <c r="J54" s="258" t="s">
        <v>31</v>
      </c>
      <c r="K54" s="18">
        <v>0</v>
      </c>
      <c r="L54" s="113">
        <v>1106.7886417955353</v>
      </c>
      <c r="M54" s="17">
        <f>L54*$C$146</f>
        <v>2438.7136048955031</v>
      </c>
      <c r="N54" s="269">
        <f>M54*K54/1000</f>
        <v>0</v>
      </c>
    </row>
    <row r="55" spans="1:14" ht="15.75" x14ac:dyDescent="0.25">
      <c r="A55" s="14">
        <f t="shared" si="0"/>
        <v>53</v>
      </c>
      <c r="B55" s="233" t="s">
        <v>44</v>
      </c>
      <c r="C55" s="6">
        <f>SUM(C52:C54)</f>
        <v>364.75943049310945</v>
      </c>
      <c r="D55" s="112">
        <v>734.55277118892923</v>
      </c>
      <c r="E55" s="16">
        <f>D55*$C$146</f>
        <v>1618.5238707419498</v>
      </c>
      <c r="F55" s="9">
        <f>E55*C55/1000</f>
        <v>590.37184533133677</v>
      </c>
      <c r="G55" s="14">
        <f t="shared" si="1"/>
        <v>53</v>
      </c>
      <c r="H55" s="268">
        <f>SUM(F52:F54)-F55</f>
        <v>0</v>
      </c>
      <c r="J55" s="258" t="s">
        <v>44</v>
      </c>
      <c r="K55" s="6">
        <f>SUM(K52:K54)</f>
        <v>198.85188978531576</v>
      </c>
      <c r="L55" s="112">
        <f>(L52*K52+L53*K53+K54*L54)/K55</f>
        <v>660.86387849373989</v>
      </c>
      <c r="M55" s="16">
        <f>L55*$C$146</f>
        <v>1456.1567318328377</v>
      </c>
      <c r="N55" s="259">
        <f>M55*K55/1000</f>
        <v>289.55951794856901</v>
      </c>
    </row>
    <row r="56" spans="1:14" ht="15.75" x14ac:dyDescent="0.25">
      <c r="A56" s="14">
        <f t="shared" si="0"/>
        <v>54</v>
      </c>
      <c r="B56" s="270"/>
      <c r="C56" s="243"/>
      <c r="D56" s="243"/>
      <c r="E56" s="6"/>
      <c r="F56" s="111"/>
      <c r="G56" s="14">
        <f t="shared" si="1"/>
        <v>54</v>
      </c>
      <c r="H56" s="114"/>
      <c r="J56" s="231"/>
      <c r="K56" s="120"/>
      <c r="L56" s="120"/>
      <c r="M56" s="120"/>
      <c r="N56" s="232"/>
    </row>
    <row r="57" spans="1:14" ht="15.75" x14ac:dyDescent="0.25">
      <c r="A57" s="14">
        <f t="shared" si="0"/>
        <v>55</v>
      </c>
      <c r="B57" s="233" t="s">
        <v>186</v>
      </c>
      <c r="C57" s="243"/>
      <c r="D57" s="243"/>
      <c r="E57" s="6"/>
      <c r="F57" s="111"/>
      <c r="G57" s="14">
        <f t="shared" si="1"/>
        <v>55</v>
      </c>
      <c r="H57" s="114"/>
      <c r="J57" s="258" t="s">
        <v>53</v>
      </c>
      <c r="K57" s="120"/>
      <c r="L57" s="120"/>
      <c r="M57" s="120"/>
      <c r="N57" s="232"/>
    </row>
    <row r="58" spans="1:14" ht="15.75" x14ac:dyDescent="0.25">
      <c r="A58" s="14">
        <f t="shared" si="0"/>
        <v>56</v>
      </c>
      <c r="B58" s="233" t="s">
        <v>21</v>
      </c>
      <c r="C58" s="6">
        <v>7083819.1543859066</v>
      </c>
      <c r="D58" s="16">
        <f>D61*D64/D67</f>
        <v>1.1459152093496445</v>
      </c>
      <c r="E58" s="16">
        <f>D58*$C$146</f>
        <v>2.5249256322002576</v>
      </c>
      <c r="F58" s="9">
        <f>E58*C58/1000</f>
        <v>17886.116556780129</v>
      </c>
      <c r="G58" s="14">
        <f t="shared" si="1"/>
        <v>56</v>
      </c>
      <c r="H58" s="114"/>
      <c r="J58" s="271" t="s">
        <v>46</v>
      </c>
      <c r="K58" s="272">
        <v>0</v>
      </c>
      <c r="L58" s="273">
        <f>L40</f>
        <v>150.46890668368505</v>
      </c>
      <c r="M58" s="273">
        <f>M40</f>
        <v>331.54529779773787</v>
      </c>
      <c r="N58" s="237">
        <f>K58*M58/1000</f>
        <v>0</v>
      </c>
    </row>
    <row r="59" spans="1:14" ht="15.75" x14ac:dyDescent="0.25">
      <c r="A59" s="14">
        <f t="shared" si="0"/>
        <v>57</v>
      </c>
      <c r="B59" s="233" t="s">
        <v>22</v>
      </c>
      <c r="C59" s="6">
        <v>1959909.3045267595</v>
      </c>
      <c r="D59" s="16">
        <f>D61*D65/D67</f>
        <v>1.1400127368858917</v>
      </c>
      <c r="E59" s="16">
        <f>D59*$C$146</f>
        <v>2.5119200416508978</v>
      </c>
      <c r="F59" s="9">
        <f>E59*C59/1000</f>
        <v>4923.1354618588393</v>
      </c>
      <c r="G59" s="14">
        <f t="shared" si="1"/>
        <v>57</v>
      </c>
      <c r="H59" s="114"/>
      <c r="J59" s="258" t="s">
        <v>47</v>
      </c>
      <c r="K59" s="272">
        <v>155</v>
      </c>
      <c r="L59" s="273">
        <f>L41</f>
        <v>362.65181089057631</v>
      </c>
      <c r="M59" s="273">
        <f>M41</f>
        <v>799.07208265534553</v>
      </c>
      <c r="N59" s="274">
        <f>K59*M59/1000</f>
        <v>123.85617281157855</v>
      </c>
    </row>
    <row r="60" spans="1:14" ht="15.75" x14ac:dyDescent="0.25">
      <c r="A60" s="14">
        <f t="shared" si="0"/>
        <v>58</v>
      </c>
      <c r="B60" s="233" t="s">
        <v>24</v>
      </c>
      <c r="C60" s="18"/>
      <c r="D60" s="17"/>
      <c r="E60" s="17"/>
      <c r="F60" s="110"/>
      <c r="G60" s="14">
        <f t="shared" si="1"/>
        <v>58</v>
      </c>
      <c r="H60" s="114"/>
      <c r="J60" s="258" t="s">
        <v>63</v>
      </c>
      <c r="K60" s="272"/>
      <c r="L60" s="272"/>
      <c r="M60" s="272"/>
      <c r="N60" s="237">
        <f>SUM(N58:N59)</f>
        <v>123.85617281157855</v>
      </c>
    </row>
    <row r="61" spans="1:14" ht="15.75" x14ac:dyDescent="0.25">
      <c r="A61" s="14">
        <f t="shared" si="0"/>
        <v>59</v>
      </c>
      <c r="B61" s="233" t="s">
        <v>2</v>
      </c>
      <c r="C61" s="6">
        <f>SUM(C58:C60)</f>
        <v>9043728.4589126669</v>
      </c>
      <c r="D61" s="16">
        <v>1.144568171289682</v>
      </c>
      <c r="E61" s="16">
        <f>D61*$C$146</f>
        <v>2.5219575496602951</v>
      </c>
      <c r="F61" s="9">
        <f>E61*C61/1000</f>
        <v>22807.899264032465</v>
      </c>
      <c r="G61" s="14">
        <f t="shared" si="1"/>
        <v>59</v>
      </c>
      <c r="H61" s="114"/>
      <c r="J61" s="258"/>
      <c r="K61" s="272"/>
      <c r="L61" s="272"/>
      <c r="M61" s="272"/>
      <c r="N61" s="232"/>
    </row>
    <row r="62" spans="1:14" ht="15.75" x14ac:dyDescent="0.25">
      <c r="A62" s="14">
        <f t="shared" si="0"/>
        <v>60</v>
      </c>
      <c r="B62" s="270"/>
      <c r="C62" s="243"/>
      <c r="D62" s="243"/>
      <c r="E62" s="6"/>
      <c r="F62" s="111"/>
      <c r="G62" s="14">
        <f t="shared" si="1"/>
        <v>60</v>
      </c>
      <c r="H62" s="114"/>
      <c r="J62" s="258" t="s">
        <v>52</v>
      </c>
      <c r="K62" s="272"/>
      <c r="L62" s="272"/>
      <c r="M62" s="272"/>
      <c r="N62" s="232"/>
    </row>
    <row r="63" spans="1:14" ht="15.75" x14ac:dyDescent="0.25">
      <c r="A63" s="14">
        <f t="shared" si="0"/>
        <v>61</v>
      </c>
      <c r="B63" s="233" t="s">
        <v>187</v>
      </c>
      <c r="C63" s="243"/>
      <c r="D63" s="243"/>
      <c r="E63" s="6"/>
      <c r="F63" s="111"/>
      <c r="G63" s="14">
        <f t="shared" si="1"/>
        <v>61</v>
      </c>
      <c r="H63" s="114"/>
      <c r="J63" s="271" t="s">
        <v>46</v>
      </c>
      <c r="K63" s="272">
        <v>0</v>
      </c>
      <c r="L63" s="275">
        <f t="shared" ref="L63:M65" si="2">L46</f>
        <v>74.682822941129302</v>
      </c>
      <c r="M63" s="275">
        <f t="shared" si="2"/>
        <v>164.55717874287703</v>
      </c>
      <c r="N63" s="237">
        <f>K63*M63/1000</f>
        <v>0</v>
      </c>
    </row>
    <row r="64" spans="1:14" ht="15.75" x14ac:dyDescent="0.25">
      <c r="A64" s="14">
        <f t="shared" si="0"/>
        <v>62</v>
      </c>
      <c r="B64" s="233" t="s">
        <v>21</v>
      </c>
      <c r="C64" s="6">
        <v>17143321.437666662</v>
      </c>
      <c r="D64" s="16">
        <v>8.0996737513917054</v>
      </c>
      <c r="E64" s="16">
        <f>D64*$C$146</f>
        <v>17.846934660161626</v>
      </c>
      <c r="F64" s="9">
        <f>E64*C64/1000</f>
        <v>305955.73755618499</v>
      </c>
      <c r="G64" s="14">
        <f t="shared" si="1"/>
        <v>62</v>
      </c>
      <c r="H64" s="268"/>
      <c r="J64" s="258" t="s">
        <v>47</v>
      </c>
      <c r="K64" s="272">
        <v>411</v>
      </c>
      <c r="L64" s="275">
        <f t="shared" si="2"/>
        <v>82.684139466962677</v>
      </c>
      <c r="M64" s="275">
        <f t="shared" si="2"/>
        <v>182.18739171377399</v>
      </c>
      <c r="N64" s="237">
        <f>K64*M64/1000</f>
        <v>74.879017994361121</v>
      </c>
    </row>
    <row r="65" spans="1:14" ht="15.75" x14ac:dyDescent="0.25">
      <c r="A65" s="14">
        <f t="shared" si="0"/>
        <v>63</v>
      </c>
      <c r="B65" s="233" t="s">
        <v>22</v>
      </c>
      <c r="C65" s="6">
        <v>5069265.4978171745</v>
      </c>
      <c r="D65" s="16">
        <v>8.0579532986977345</v>
      </c>
      <c r="E65" s="16">
        <f>D65*$C$146</f>
        <v>17.755007229986585</v>
      </c>
      <c r="F65" s="9">
        <f>E65*C65/1000</f>
        <v>90004.845564465475</v>
      </c>
      <c r="G65" s="14">
        <f t="shared" si="1"/>
        <v>63</v>
      </c>
      <c r="H65" s="114"/>
      <c r="J65" s="258" t="s">
        <v>31</v>
      </c>
      <c r="K65" s="272">
        <v>42</v>
      </c>
      <c r="L65" s="275">
        <f t="shared" si="2"/>
        <v>105.89139958657309</v>
      </c>
      <c r="M65" s="275">
        <f t="shared" si="2"/>
        <v>233.32259390940521</v>
      </c>
      <c r="N65" s="274">
        <f>K65*M65/1000</f>
        <v>9.7995489441950188</v>
      </c>
    </row>
    <row r="66" spans="1:14" ht="15.75" x14ac:dyDescent="0.25">
      <c r="A66" s="14">
        <f t="shared" si="0"/>
        <v>64</v>
      </c>
      <c r="B66" s="233" t="s">
        <v>24</v>
      </c>
      <c r="C66" s="18"/>
      <c r="D66" s="17"/>
      <c r="E66" s="17"/>
      <c r="F66" s="110"/>
      <c r="G66" s="14">
        <f t="shared" si="1"/>
        <v>64</v>
      </c>
      <c r="H66" s="268"/>
      <c r="J66" s="258" t="s">
        <v>64</v>
      </c>
      <c r="K66" s="272"/>
      <c r="L66" s="272"/>
      <c r="M66" s="272"/>
      <c r="N66" s="237">
        <f>SUM(N63:N65)</f>
        <v>84.678566938556145</v>
      </c>
    </row>
    <row r="67" spans="1:14" ht="15.75" x14ac:dyDescent="0.25">
      <c r="A67" s="14">
        <f t="shared" si="0"/>
        <v>65</v>
      </c>
      <c r="B67" s="233" t="s">
        <v>2</v>
      </c>
      <c r="C67" s="6">
        <f>SUM(C64:C66)</f>
        <v>22212586.935483836</v>
      </c>
      <c r="D67" s="16">
        <v>8.0901524807711702</v>
      </c>
      <c r="E67" s="16">
        <f>D67*$C$146</f>
        <v>17.825955359036413</v>
      </c>
      <c r="F67" s="9">
        <f>E67*C67/1000</f>
        <v>395960.58312065026</v>
      </c>
      <c r="G67" s="14">
        <f t="shared" si="1"/>
        <v>65</v>
      </c>
      <c r="H67" s="268">
        <f>SUM(F64:F66)-F67</f>
        <v>0</v>
      </c>
      <c r="J67" s="258"/>
      <c r="K67" s="272"/>
      <c r="L67" s="272"/>
      <c r="M67" s="272"/>
      <c r="N67" s="232"/>
    </row>
    <row r="68" spans="1:14" ht="15.75" x14ac:dyDescent="0.25">
      <c r="A68" s="14">
        <f t="shared" ref="A68:A131" si="3">A67+1</f>
        <v>66</v>
      </c>
      <c r="B68" s="233"/>
      <c r="C68" s="6"/>
      <c r="D68" s="6"/>
      <c r="E68" s="276"/>
      <c r="F68" s="9"/>
      <c r="G68" s="14">
        <f t="shared" ref="G68:G131" si="4">G67+1</f>
        <v>66</v>
      </c>
      <c r="H68" s="266"/>
      <c r="J68" s="258" t="s">
        <v>67</v>
      </c>
      <c r="K68" s="277">
        <v>115512</v>
      </c>
      <c r="L68" s="272"/>
      <c r="M68" s="272">
        <v>1.23</v>
      </c>
      <c r="N68" s="237">
        <f>K68*M68/1000</f>
        <v>142.07976000000002</v>
      </c>
    </row>
    <row r="69" spans="1:14" ht="15.75" x14ac:dyDescent="0.25">
      <c r="A69" s="14">
        <f t="shared" si="3"/>
        <v>67</v>
      </c>
      <c r="B69" s="233" t="s">
        <v>201</v>
      </c>
      <c r="C69" s="6"/>
      <c r="D69" s="6"/>
      <c r="E69" s="276"/>
      <c r="F69" s="9">
        <f>F43+F49+F55+F61+F67</f>
        <v>502654.41094876174</v>
      </c>
      <c r="G69" s="14">
        <f t="shared" si="4"/>
        <v>67</v>
      </c>
      <c r="H69" s="266"/>
      <c r="J69" s="258" t="s">
        <v>68</v>
      </c>
      <c r="K69" s="277">
        <v>178752</v>
      </c>
      <c r="L69" s="272"/>
      <c r="M69" s="272">
        <v>3.17</v>
      </c>
      <c r="N69" s="278">
        <f>K69*M69/1000</f>
        <v>566.64383999999995</v>
      </c>
    </row>
    <row r="70" spans="1:14" ht="15.75" x14ac:dyDescent="0.25">
      <c r="A70" s="14">
        <f t="shared" si="3"/>
        <v>68</v>
      </c>
      <c r="B70" s="229"/>
      <c r="C70" s="192"/>
      <c r="D70" s="192"/>
      <c r="E70" s="6"/>
      <c r="F70" s="111"/>
      <c r="G70" s="14">
        <f t="shared" si="4"/>
        <v>68</v>
      </c>
      <c r="H70" s="114"/>
      <c r="J70" s="258" t="s">
        <v>63</v>
      </c>
      <c r="K70" s="272"/>
      <c r="L70" s="272"/>
      <c r="M70" s="272"/>
      <c r="N70" s="237">
        <f>SUM(N68:N69)</f>
        <v>708.72360000000003</v>
      </c>
    </row>
    <row r="71" spans="1:14" ht="15.75" x14ac:dyDescent="0.25">
      <c r="A71" s="14">
        <f t="shared" si="3"/>
        <v>69</v>
      </c>
      <c r="B71" s="229" t="s">
        <v>202</v>
      </c>
      <c r="C71" s="243"/>
      <c r="D71" s="243"/>
      <c r="E71" s="6"/>
      <c r="F71" s="111"/>
      <c r="G71" s="14">
        <f t="shared" si="4"/>
        <v>69</v>
      </c>
      <c r="H71" s="114"/>
      <c r="J71" s="258"/>
      <c r="K71" s="272"/>
      <c r="L71" s="272"/>
      <c r="M71" s="272"/>
      <c r="N71" s="232"/>
    </row>
    <row r="72" spans="1:14" ht="15.75" x14ac:dyDescent="0.25">
      <c r="A72" s="14">
        <f t="shared" si="3"/>
        <v>70</v>
      </c>
      <c r="B72" s="233" t="s">
        <v>184</v>
      </c>
      <c r="C72" s="6"/>
      <c r="D72" s="16"/>
      <c r="E72" s="16"/>
      <c r="F72" s="9"/>
      <c r="G72" s="14">
        <f t="shared" si="4"/>
        <v>70</v>
      </c>
      <c r="H72" s="114"/>
      <c r="J72" s="258" t="s">
        <v>65</v>
      </c>
      <c r="K72" s="277">
        <v>96828</v>
      </c>
      <c r="L72" s="272"/>
      <c r="M72" s="272">
        <v>1.22</v>
      </c>
      <c r="N72" s="237">
        <f>K72*M72/1000</f>
        <v>118.13016</v>
      </c>
    </row>
    <row r="73" spans="1:14" ht="15.75" x14ac:dyDescent="0.25">
      <c r="A73" s="14">
        <f t="shared" si="3"/>
        <v>71</v>
      </c>
      <c r="B73" s="233" t="s">
        <v>21</v>
      </c>
      <c r="C73" s="6"/>
      <c r="D73" s="16"/>
      <c r="E73" s="16"/>
      <c r="F73" s="9"/>
      <c r="G73" s="14">
        <f t="shared" si="4"/>
        <v>71</v>
      </c>
      <c r="H73" s="114"/>
      <c r="J73" s="258" t="s">
        <v>66</v>
      </c>
      <c r="K73" s="277">
        <v>780636</v>
      </c>
      <c r="L73" s="272"/>
      <c r="M73" s="272">
        <v>3.13</v>
      </c>
      <c r="N73" s="278">
        <f>K73*M73/1000</f>
        <v>2443.3906799999995</v>
      </c>
    </row>
    <row r="74" spans="1:14" ht="15.75" x14ac:dyDescent="0.25">
      <c r="A74" s="14">
        <f t="shared" si="3"/>
        <v>72</v>
      </c>
      <c r="B74" s="233" t="s">
        <v>203</v>
      </c>
      <c r="C74" s="6">
        <v>34978.93074847362</v>
      </c>
      <c r="D74" s="16">
        <v>31.051778339116591</v>
      </c>
      <c r="E74" s="16">
        <f>D74*$C$146</f>
        <v>68.41992358084984</v>
      </c>
      <c r="F74" s="9">
        <f>E74*C74/1000</f>
        <v>2393.2557687504041</v>
      </c>
      <c r="G74" s="14">
        <f t="shared" si="4"/>
        <v>72</v>
      </c>
      <c r="H74" s="114"/>
      <c r="J74" s="258" t="s">
        <v>64</v>
      </c>
      <c r="K74" s="120"/>
      <c r="L74" s="120"/>
      <c r="M74" s="120"/>
      <c r="N74" s="237">
        <f>SUM(N72:N73)</f>
        <v>2561.5208399999997</v>
      </c>
    </row>
    <row r="75" spans="1:14" ht="15.75" x14ac:dyDescent="0.25">
      <c r="A75" s="14">
        <f t="shared" si="3"/>
        <v>73</v>
      </c>
      <c r="B75" s="233" t="s">
        <v>204</v>
      </c>
      <c r="C75" s="18">
        <v>12071.025654113821</v>
      </c>
      <c r="D75" s="17">
        <v>105.92100666032771</v>
      </c>
      <c r="E75" s="17">
        <f>D75*$C$146</f>
        <v>233.38783055065716</v>
      </c>
      <c r="F75" s="110">
        <f>E75*C75/1000</f>
        <v>2817.2304899349519</v>
      </c>
      <c r="G75" s="14">
        <f t="shared" si="4"/>
        <v>73</v>
      </c>
      <c r="H75" s="114"/>
      <c r="J75" s="231"/>
      <c r="K75" s="120"/>
      <c r="L75" s="120"/>
      <c r="M75" s="120"/>
      <c r="N75" s="232"/>
    </row>
    <row r="76" spans="1:14" ht="15.75" x14ac:dyDescent="0.25">
      <c r="A76" s="14">
        <f t="shared" si="3"/>
        <v>74</v>
      </c>
      <c r="B76" s="233" t="s">
        <v>42</v>
      </c>
      <c r="C76" s="6">
        <f>SUM(C74:C75)</f>
        <v>47049.956402587442</v>
      </c>
      <c r="D76" s="16">
        <v>50.260050670679135</v>
      </c>
      <c r="E76" s="16">
        <f>D76*$C$146</f>
        <v>110.74370003877013</v>
      </c>
      <c r="F76" s="9">
        <f>E76*C76/1000</f>
        <v>5210.486258685356</v>
      </c>
      <c r="G76" s="14">
        <f t="shared" si="4"/>
        <v>74</v>
      </c>
      <c r="H76" s="268">
        <f>SUM(F74:F75)-F76</f>
        <v>0</v>
      </c>
      <c r="J76" s="258" t="s">
        <v>186</v>
      </c>
      <c r="K76" s="120"/>
      <c r="L76" s="120"/>
      <c r="M76" s="120"/>
      <c r="N76" s="232"/>
    </row>
    <row r="77" spans="1:14" ht="15.75" x14ac:dyDescent="0.25">
      <c r="A77" s="14">
        <f t="shared" si="3"/>
        <v>75</v>
      </c>
      <c r="B77" s="233"/>
      <c r="C77" s="6"/>
      <c r="D77" s="16"/>
      <c r="E77" s="16"/>
      <c r="F77" s="9"/>
      <c r="G77" s="14">
        <f t="shared" si="4"/>
        <v>75</v>
      </c>
      <c r="H77" s="114"/>
      <c r="J77" s="258" t="s">
        <v>21</v>
      </c>
      <c r="K77" s="279">
        <v>5379060.5997941736</v>
      </c>
      <c r="L77" s="262">
        <f>D58</f>
        <v>1.1459152093496445</v>
      </c>
      <c r="M77" s="16">
        <f>L77*$C$146</f>
        <v>2.5249256322002576</v>
      </c>
      <c r="N77" s="259">
        <f>M77*K77/1000</f>
        <v>13581.7279855788</v>
      </c>
    </row>
    <row r="78" spans="1:14" ht="15.75" x14ac:dyDescent="0.25">
      <c r="A78" s="14">
        <f t="shared" si="3"/>
        <v>76</v>
      </c>
      <c r="B78" s="233" t="s">
        <v>22</v>
      </c>
      <c r="C78" s="6"/>
      <c r="D78" s="16"/>
      <c r="E78" s="16"/>
      <c r="F78" s="9"/>
      <c r="G78" s="14">
        <f t="shared" si="4"/>
        <v>76</v>
      </c>
      <c r="H78" s="114"/>
      <c r="J78" s="258" t="s">
        <v>22</v>
      </c>
      <c r="K78" s="279">
        <v>845749.03039542912</v>
      </c>
      <c r="L78" s="262">
        <f>D59</f>
        <v>1.1400127368858917</v>
      </c>
      <c r="M78" s="16">
        <f>L78*$C$146</f>
        <v>2.5119200416508978</v>
      </c>
      <c r="N78" s="259">
        <f>M78*K78/1000</f>
        <v>2124.4539396570926</v>
      </c>
    </row>
    <row r="79" spans="1:14" ht="15.75" x14ac:dyDescent="0.25">
      <c r="A79" s="14">
        <f t="shared" si="3"/>
        <v>77</v>
      </c>
      <c r="B79" s="233" t="s">
        <v>203</v>
      </c>
      <c r="C79" s="6">
        <v>23.607468467504603</v>
      </c>
      <c r="D79" s="16">
        <v>47.262965084767877</v>
      </c>
      <c r="E79" s="16">
        <f>D79*$C$146</f>
        <v>104.1398796548343</v>
      </c>
      <c r="F79" s="9">
        <f>E79*C79/1000</f>
        <v>2.4584789251612249</v>
      </c>
      <c r="G79" s="14">
        <f t="shared" si="4"/>
        <v>77</v>
      </c>
      <c r="H79" s="114"/>
      <c r="J79" s="258" t="s">
        <v>24</v>
      </c>
      <c r="K79" s="280"/>
      <c r="L79" s="280"/>
      <c r="M79" s="17"/>
      <c r="N79" s="267"/>
    </row>
    <row r="80" spans="1:14" ht="15.75" x14ac:dyDescent="0.25">
      <c r="A80" s="14">
        <f t="shared" si="3"/>
        <v>78</v>
      </c>
      <c r="B80" s="233" t="s">
        <v>204</v>
      </c>
      <c r="C80" s="18">
        <v>146.43612894505952</v>
      </c>
      <c r="D80" s="17">
        <v>54.509851001913269</v>
      </c>
      <c r="E80" s="17">
        <f>D80*$C$146</f>
        <v>120.10776964925743</v>
      </c>
      <c r="F80" s="110">
        <f>E80*C80/1000</f>
        <v>17.588116843662167</v>
      </c>
      <c r="G80" s="14">
        <f t="shared" si="4"/>
        <v>78</v>
      </c>
      <c r="H80" s="114"/>
      <c r="J80" s="258" t="s">
        <v>2</v>
      </c>
      <c r="K80" s="279">
        <f>SUM(K77:K79)</f>
        <v>6224809.6301896032</v>
      </c>
      <c r="L80" s="112">
        <f>(L77*K77+L78*K78+K79*L79)/K80</f>
        <v>1.1451132554490877</v>
      </c>
      <c r="M80" s="16">
        <f>L80*$C$146</f>
        <v>2.5231585957364446</v>
      </c>
      <c r="N80" s="259">
        <f>M80*K80/1000</f>
        <v>15706.181925235896</v>
      </c>
    </row>
    <row r="81" spans="1:14" ht="15.75" x14ac:dyDescent="0.25">
      <c r="A81" s="14">
        <f t="shared" si="3"/>
        <v>79</v>
      </c>
      <c r="B81" s="233" t="s">
        <v>205</v>
      </c>
      <c r="C81" s="6">
        <f>SUM(C79:C80)</f>
        <v>170.04359741256411</v>
      </c>
      <c r="D81" s="16">
        <v>53.503752369681145</v>
      </c>
      <c r="E81" s="16">
        <f>D81*$C$146</f>
        <v>117.89091782259719</v>
      </c>
      <c r="F81" s="9">
        <f>E81*C81/1000</f>
        <v>20.046595768823394</v>
      </c>
      <c r="G81" s="14">
        <f t="shared" si="4"/>
        <v>79</v>
      </c>
      <c r="H81" s="114"/>
      <c r="J81" s="281"/>
      <c r="K81" s="229"/>
      <c r="L81" s="229"/>
      <c r="M81" s="6"/>
      <c r="N81" s="282"/>
    </row>
    <row r="82" spans="1:14" ht="15.75" x14ac:dyDescent="0.25">
      <c r="A82" s="14">
        <f t="shared" si="3"/>
        <v>80</v>
      </c>
      <c r="B82" s="233"/>
      <c r="C82" s="6"/>
      <c r="D82" s="16"/>
      <c r="E82" s="16"/>
      <c r="F82" s="9"/>
      <c r="G82" s="14">
        <f t="shared" si="4"/>
        <v>80</v>
      </c>
      <c r="H82" s="114"/>
      <c r="J82" s="258" t="s">
        <v>187</v>
      </c>
      <c r="K82" s="229"/>
      <c r="L82" s="229"/>
      <c r="M82" s="6"/>
      <c r="N82" s="282"/>
    </row>
    <row r="83" spans="1:14" ht="15.75" x14ac:dyDescent="0.25">
      <c r="A83" s="14">
        <f t="shared" si="3"/>
        <v>81</v>
      </c>
      <c r="B83" s="233" t="s">
        <v>186</v>
      </c>
      <c r="C83" s="6"/>
      <c r="D83" s="16"/>
      <c r="E83" s="16"/>
      <c r="F83" s="9"/>
      <c r="G83" s="14">
        <f t="shared" si="4"/>
        <v>81</v>
      </c>
      <c r="H83" s="114"/>
      <c r="J83" s="258" t="s">
        <v>21</v>
      </c>
      <c r="K83" s="279">
        <v>12888774.859243155</v>
      </c>
      <c r="L83" s="262">
        <f>D64</f>
        <v>8.0996737513917054</v>
      </c>
      <c r="M83" s="16">
        <f>L83*$C$146</f>
        <v>17.846934660161626</v>
      </c>
      <c r="N83" s="259">
        <f>M83*K83/1000</f>
        <v>230025.12276244644</v>
      </c>
    </row>
    <row r="84" spans="1:14" ht="15.75" x14ac:dyDescent="0.25">
      <c r="A84" s="14">
        <f t="shared" si="3"/>
        <v>82</v>
      </c>
      <c r="B84" s="233" t="s">
        <v>21</v>
      </c>
      <c r="C84" s="6">
        <v>469880.67403704522</v>
      </c>
      <c r="D84" s="16">
        <f>D86*D89/D91</f>
        <v>0.63496827952905233</v>
      </c>
      <c r="E84" s="16">
        <f>D84*$C$146</f>
        <v>1.3990980061490881</v>
      </c>
      <c r="F84" s="9">
        <f>E84*C84/1000</f>
        <v>657.40911417321956</v>
      </c>
      <c r="G84" s="14">
        <f t="shared" si="4"/>
        <v>82</v>
      </c>
      <c r="H84" s="114"/>
      <c r="J84" s="258" t="s">
        <v>22</v>
      </c>
      <c r="K84" s="279">
        <v>2084758.0681548899</v>
      </c>
      <c r="L84" s="262">
        <f>D65</f>
        <v>8.0579532986977345</v>
      </c>
      <c r="M84" s="16">
        <f>L84*$C$146</f>
        <v>17.755007229986585</v>
      </c>
      <c r="N84" s="259">
        <f>M84*K84/1000</f>
        <v>37014.894572862941</v>
      </c>
    </row>
    <row r="85" spans="1:14" ht="15.75" x14ac:dyDescent="0.25">
      <c r="A85" s="14">
        <f t="shared" si="3"/>
        <v>83</v>
      </c>
      <c r="B85" s="233" t="s">
        <v>22</v>
      </c>
      <c r="C85" s="18">
        <v>62861.657899648497</v>
      </c>
      <c r="D85" s="17">
        <f>D86*D90/D91</f>
        <v>0.63169763371276721</v>
      </c>
      <c r="E85" s="17">
        <f>D85*$C$146</f>
        <v>1.3918914193196195</v>
      </c>
      <c r="F85" s="110">
        <f>E85*C85/1000</f>
        <v>87.496602234726112</v>
      </c>
      <c r="G85" s="14">
        <f t="shared" si="4"/>
        <v>83</v>
      </c>
      <c r="H85" s="114"/>
      <c r="J85" s="258" t="s">
        <v>24</v>
      </c>
      <c r="K85" s="280"/>
      <c r="L85" s="280"/>
      <c r="M85" s="17"/>
      <c r="N85" s="267"/>
    </row>
    <row r="86" spans="1:14" ht="15.75" x14ac:dyDescent="0.25">
      <c r="A86" s="14">
        <f t="shared" si="3"/>
        <v>84</v>
      </c>
      <c r="B86" s="233" t="s">
        <v>2</v>
      </c>
      <c r="C86" s="6">
        <f>C84+C85</f>
        <v>532742.33193669375</v>
      </c>
      <c r="D86" s="16">
        <v>0.63457468573008491</v>
      </c>
      <c r="E86" s="16">
        <f>D86*$C$146</f>
        <v>1.3982307560562544</v>
      </c>
      <c r="F86" s="9">
        <f>E86*C86/1000</f>
        <v>744.89671356701535</v>
      </c>
      <c r="G86" s="14">
        <f t="shared" si="4"/>
        <v>84</v>
      </c>
      <c r="H86" s="114"/>
      <c r="J86" s="258" t="s">
        <v>2</v>
      </c>
      <c r="K86" s="279">
        <f>SUM(K83:K85)</f>
        <v>14973532.927398045</v>
      </c>
      <c r="L86" s="112">
        <f>(L83*K83+L84*K84+K85*L85)/K86</f>
        <v>8.0938650320478764</v>
      </c>
      <c r="M86" s="16">
        <f>L86*$C$146</f>
        <v>17.834135646550649</v>
      </c>
      <c r="N86" s="259">
        <f>M86*K86/1000</f>
        <v>267040.01733530936</v>
      </c>
    </row>
    <row r="87" spans="1:14" ht="15.75" x14ac:dyDescent="0.25">
      <c r="A87" s="14">
        <f t="shared" si="3"/>
        <v>85</v>
      </c>
      <c r="B87" s="233"/>
      <c r="C87" s="6"/>
      <c r="D87" s="16"/>
      <c r="E87" s="16"/>
      <c r="F87" s="9"/>
      <c r="G87" s="14">
        <f t="shared" si="4"/>
        <v>85</v>
      </c>
      <c r="H87" s="114"/>
      <c r="J87" s="258"/>
      <c r="K87" s="283"/>
      <c r="L87" s="283"/>
      <c r="M87" s="276"/>
      <c r="N87" s="259"/>
    </row>
    <row r="88" spans="1:14" ht="15.75" x14ac:dyDescent="0.25">
      <c r="A88" s="14">
        <f t="shared" si="3"/>
        <v>86</v>
      </c>
      <c r="B88" s="233" t="s">
        <v>187</v>
      </c>
      <c r="C88" s="6"/>
      <c r="D88" s="16"/>
      <c r="E88" s="16"/>
      <c r="F88" s="9"/>
      <c r="G88" s="14">
        <f t="shared" si="4"/>
        <v>86</v>
      </c>
      <c r="H88" s="114"/>
      <c r="J88" s="258" t="s">
        <v>98</v>
      </c>
      <c r="K88" s="16"/>
      <c r="L88" s="120"/>
      <c r="M88" s="120"/>
      <c r="N88" s="232"/>
    </row>
    <row r="89" spans="1:14" ht="15.75" x14ac:dyDescent="0.25">
      <c r="A89" s="14">
        <f t="shared" si="3"/>
        <v>87</v>
      </c>
      <c r="B89" s="233" t="s">
        <v>21</v>
      </c>
      <c r="C89" s="6">
        <v>1366013.584983015</v>
      </c>
      <c r="D89" s="16">
        <v>3.7483220748937844</v>
      </c>
      <c r="E89" s="16">
        <f>D89*$C$146</f>
        <v>8.2591053922852851</v>
      </c>
      <c r="F89" s="9">
        <f>E89*C89/1000</f>
        <v>11282.050165668174</v>
      </c>
      <c r="G89" s="14">
        <f t="shared" si="4"/>
        <v>87</v>
      </c>
      <c r="H89" s="114"/>
      <c r="J89" s="258" t="s">
        <v>21</v>
      </c>
      <c r="K89" s="284">
        <v>17283828.143585626</v>
      </c>
      <c r="L89" s="120"/>
      <c r="M89" s="285">
        <v>14.11</v>
      </c>
      <c r="N89" s="259">
        <f>M89*K89/1000</f>
        <v>243874.81510599318</v>
      </c>
    </row>
    <row r="90" spans="1:14" ht="15.75" x14ac:dyDescent="0.25">
      <c r="A90" s="14">
        <f t="shared" si="3"/>
        <v>88</v>
      </c>
      <c r="B90" s="233" t="s">
        <v>22</v>
      </c>
      <c r="C90" s="18">
        <v>186876.87018457541</v>
      </c>
      <c r="D90" s="17">
        <v>3.7290149152960903</v>
      </c>
      <c r="E90" s="17">
        <f>D90*$C$146</f>
        <v>8.2165637262392721</v>
      </c>
      <c r="F90" s="110">
        <f>E90*C90/1000</f>
        <v>1535.4857128317076</v>
      </c>
      <c r="G90" s="14">
        <f t="shared" si="4"/>
        <v>88</v>
      </c>
      <c r="H90" s="114"/>
      <c r="J90" s="258" t="s">
        <v>22</v>
      </c>
      <c r="K90" s="284">
        <v>2559874.1755888499</v>
      </c>
      <c r="L90" s="120"/>
      <c r="M90" s="285">
        <v>13.63</v>
      </c>
      <c r="N90" s="259">
        <f>M90*K90/1000</f>
        <v>34891.085013276024</v>
      </c>
    </row>
    <row r="91" spans="1:14" ht="15.75" x14ac:dyDescent="0.25">
      <c r="A91" s="14">
        <f t="shared" si="3"/>
        <v>89</v>
      </c>
      <c r="B91" s="233" t="s">
        <v>2</v>
      </c>
      <c r="C91" s="6">
        <f>SUM(C89:C90)</f>
        <v>1552890.4551675904</v>
      </c>
      <c r="D91" s="16">
        <v>3.7459986260337796</v>
      </c>
      <c r="E91" s="16">
        <f>D91*$C$146</f>
        <v>8.2539858725041828</v>
      </c>
      <c r="F91" s="9">
        <f>E91*C91/1000</f>
        <v>12817.535878499881</v>
      </c>
      <c r="G91" s="14">
        <f t="shared" si="4"/>
        <v>89</v>
      </c>
      <c r="H91" s="114"/>
      <c r="J91" s="258" t="s">
        <v>53</v>
      </c>
      <c r="K91" s="284">
        <v>412144.17055105162</v>
      </c>
      <c r="L91" s="120"/>
      <c r="M91" s="285">
        <v>14.11</v>
      </c>
      <c r="N91" s="259">
        <f>M91*K91/1000</f>
        <v>5815.3542464753382</v>
      </c>
    </row>
    <row r="92" spans="1:14" ht="15.75" x14ac:dyDescent="0.25">
      <c r="A92" s="14">
        <f t="shared" si="3"/>
        <v>90</v>
      </c>
      <c r="B92" s="233"/>
      <c r="C92" s="6"/>
      <c r="D92" s="16"/>
      <c r="E92" s="16"/>
      <c r="F92" s="9"/>
      <c r="G92" s="14">
        <f t="shared" si="4"/>
        <v>90</v>
      </c>
      <c r="H92" s="114"/>
      <c r="J92" s="258" t="s">
        <v>52</v>
      </c>
      <c r="K92" s="284">
        <v>2040765.8027397201</v>
      </c>
      <c r="L92" s="120"/>
      <c r="M92" s="285">
        <v>13.63</v>
      </c>
      <c r="N92" s="259">
        <f>M92*K92/1000</f>
        <v>27815.637891342387</v>
      </c>
    </row>
    <row r="93" spans="1:14" ht="15.75" x14ac:dyDescent="0.25">
      <c r="A93" s="14">
        <f t="shared" si="3"/>
        <v>91</v>
      </c>
      <c r="B93" s="233" t="s">
        <v>206</v>
      </c>
      <c r="C93" s="6"/>
      <c r="D93" s="16"/>
      <c r="E93" s="16"/>
      <c r="F93" s="9">
        <f>F76+F81+F86+F91</f>
        <v>18792.965446521077</v>
      </c>
      <c r="G93" s="14">
        <f t="shared" si="4"/>
        <v>91</v>
      </c>
      <c r="H93" s="114"/>
      <c r="J93" s="258" t="s">
        <v>24</v>
      </c>
      <c r="K93" s="284">
        <v>692460.89606348251</v>
      </c>
      <c r="L93" s="120"/>
      <c r="M93" s="285">
        <v>13.56</v>
      </c>
      <c r="N93" s="267">
        <f>M93*K93/1000</f>
        <v>9389.7697506208242</v>
      </c>
    </row>
    <row r="94" spans="1:14" ht="15.75" x14ac:dyDescent="0.25">
      <c r="A94" s="14">
        <f t="shared" si="3"/>
        <v>92</v>
      </c>
      <c r="B94" s="229"/>
      <c r="C94" s="192"/>
      <c r="D94" s="192"/>
      <c r="E94" s="6"/>
      <c r="F94" s="111"/>
      <c r="G94" s="14">
        <f t="shared" si="4"/>
        <v>92</v>
      </c>
      <c r="H94" s="114"/>
      <c r="J94" s="258" t="s">
        <v>2</v>
      </c>
      <c r="K94" s="6"/>
      <c r="L94" s="120"/>
      <c r="M94" s="120"/>
      <c r="N94" s="286">
        <f>SUM(N89:N93)</f>
        <v>321786.66200770775</v>
      </c>
    </row>
    <row r="95" spans="1:14" ht="15.75" x14ac:dyDescent="0.25">
      <c r="A95" s="14">
        <f t="shared" si="3"/>
        <v>93</v>
      </c>
      <c r="B95" s="229" t="s">
        <v>207</v>
      </c>
      <c r="C95" s="243"/>
      <c r="D95" s="243"/>
      <c r="E95" s="6"/>
      <c r="F95" s="111"/>
      <c r="G95" s="14">
        <f t="shared" si="4"/>
        <v>93</v>
      </c>
      <c r="H95" s="114"/>
      <c r="J95" s="258"/>
      <c r="K95" s="6"/>
      <c r="L95" s="120"/>
      <c r="M95" s="120"/>
      <c r="N95" s="232"/>
    </row>
    <row r="96" spans="1:14" ht="15.75" x14ac:dyDescent="0.25">
      <c r="A96" s="14">
        <f t="shared" si="3"/>
        <v>94</v>
      </c>
      <c r="B96" s="233" t="s">
        <v>208</v>
      </c>
      <c r="C96" s="6">
        <v>1931845</v>
      </c>
      <c r="D96" s="287">
        <v>0.63648397622443154</v>
      </c>
      <c r="E96" s="287">
        <f>D96*$C$146</f>
        <v>1.4024377134900667</v>
      </c>
      <c r="F96" s="9">
        <f>E96*C96/1000</f>
        <v>2709.2922846172182</v>
      </c>
      <c r="G96" s="14">
        <f t="shared" si="4"/>
        <v>94</v>
      </c>
      <c r="H96" s="114"/>
      <c r="J96" s="258" t="s">
        <v>97</v>
      </c>
      <c r="K96" s="16"/>
      <c r="L96" s="120"/>
      <c r="M96" s="120"/>
      <c r="N96" s="232"/>
    </row>
    <row r="97" spans="1:14" ht="15.75" x14ac:dyDescent="0.25">
      <c r="A97" s="14">
        <f t="shared" si="3"/>
        <v>95</v>
      </c>
      <c r="B97" s="233" t="s">
        <v>186</v>
      </c>
      <c r="C97" s="6">
        <v>236762.21787628948</v>
      </c>
      <c r="D97" s="16">
        <v>0.23682323415241086</v>
      </c>
      <c r="E97" s="16">
        <f>D97*$C$146</f>
        <v>0.52181963319201763</v>
      </c>
      <c r="F97" s="9">
        <f>E97*C97/1000</f>
        <v>123.54717368593393</v>
      </c>
      <c r="G97" s="14">
        <f t="shared" si="4"/>
        <v>95</v>
      </c>
      <c r="H97" s="114"/>
      <c r="J97" s="258" t="s">
        <v>21</v>
      </c>
      <c r="K97" s="284">
        <v>17283828.143585626</v>
      </c>
      <c r="L97" s="120"/>
      <c r="M97" s="285">
        <v>0</v>
      </c>
      <c r="N97" s="259">
        <f>M97*K97/1000</f>
        <v>0</v>
      </c>
    </row>
    <row r="98" spans="1:14" ht="15.75" x14ac:dyDescent="0.25">
      <c r="A98" s="14">
        <f t="shared" si="3"/>
        <v>96</v>
      </c>
      <c r="B98" s="233" t="s">
        <v>187</v>
      </c>
      <c r="C98" s="18">
        <v>236762.21787628953</v>
      </c>
      <c r="D98" s="17">
        <v>3.8175731670858233</v>
      </c>
      <c r="E98" s="17">
        <f>D98*$C$146</f>
        <v>8.4116942193703004</v>
      </c>
      <c r="F98" s="110">
        <f>E98*C98/1000</f>
        <v>1991.5713794752762</v>
      </c>
      <c r="G98" s="14">
        <f t="shared" si="4"/>
        <v>96</v>
      </c>
      <c r="H98" s="114"/>
      <c r="J98" s="258" t="s">
        <v>22</v>
      </c>
      <c r="K98" s="284">
        <v>2559874.1755888499</v>
      </c>
      <c r="L98" s="120"/>
      <c r="M98" s="285">
        <v>0</v>
      </c>
      <c r="N98" s="259">
        <f>M98*K98/1000</f>
        <v>0</v>
      </c>
    </row>
    <row r="99" spans="1:14" ht="15.75" x14ac:dyDescent="0.25">
      <c r="A99" s="14">
        <f t="shared" si="3"/>
        <v>97</v>
      </c>
      <c r="B99" s="233" t="s">
        <v>209</v>
      </c>
      <c r="C99" s="233"/>
      <c r="D99" s="233"/>
      <c r="E99" s="6"/>
      <c r="F99" s="9">
        <f>SUM(F96:F98)</f>
        <v>4824.4108377784287</v>
      </c>
      <c r="G99" s="14">
        <f t="shared" si="4"/>
        <v>97</v>
      </c>
      <c r="H99" s="114"/>
      <c r="J99" s="258" t="s">
        <v>53</v>
      </c>
      <c r="K99" s="284">
        <v>412144.17055105162</v>
      </c>
      <c r="L99" s="120"/>
      <c r="M99" s="285">
        <v>0.29332732121776744</v>
      </c>
      <c r="N99" s="259">
        <f>M99*K99/1000</f>
        <v>120.89314550325865</v>
      </c>
    </row>
    <row r="100" spans="1:14" ht="15.75" x14ac:dyDescent="0.25">
      <c r="A100" s="14">
        <f t="shared" si="3"/>
        <v>98</v>
      </c>
      <c r="B100" s="229"/>
      <c r="C100" s="192"/>
      <c r="D100" s="192"/>
      <c r="E100" s="6"/>
      <c r="F100" s="111"/>
      <c r="G100" s="14">
        <f t="shared" si="4"/>
        <v>98</v>
      </c>
      <c r="H100" s="114"/>
      <c r="J100" s="258" t="s">
        <v>52</v>
      </c>
      <c r="K100" s="284">
        <v>2040765.8027397201</v>
      </c>
      <c r="L100" s="120"/>
      <c r="M100" s="285">
        <v>0.29332732121776744</v>
      </c>
      <c r="N100" s="259">
        <f>M100*K100/1000</f>
        <v>598.61236615046892</v>
      </c>
    </row>
    <row r="101" spans="1:14" ht="15.75" x14ac:dyDescent="0.25">
      <c r="A101" s="14">
        <f t="shared" si="3"/>
        <v>99</v>
      </c>
      <c r="B101" s="229" t="s">
        <v>210</v>
      </c>
      <c r="C101" s="243"/>
      <c r="D101" s="243"/>
      <c r="E101" s="6"/>
      <c r="F101" s="111"/>
      <c r="G101" s="14">
        <f t="shared" si="4"/>
        <v>99</v>
      </c>
      <c r="H101" s="114"/>
      <c r="J101" s="258" t="s">
        <v>24</v>
      </c>
      <c r="K101" s="284">
        <v>692460.89606348251</v>
      </c>
      <c r="L101" s="120"/>
      <c r="M101" s="285">
        <v>0.29332732121776744</v>
      </c>
      <c r="N101" s="267">
        <f>M101*K101/1000</f>
        <v>203.1176996903562</v>
      </c>
    </row>
    <row r="102" spans="1:14" ht="15.75" x14ac:dyDescent="0.25">
      <c r="A102" s="14">
        <f t="shared" si="3"/>
        <v>100</v>
      </c>
      <c r="B102" s="288" t="s">
        <v>211</v>
      </c>
      <c r="C102" s="243"/>
      <c r="D102" s="243"/>
      <c r="E102" s="6"/>
      <c r="F102" s="111"/>
      <c r="G102" s="14">
        <f t="shared" si="4"/>
        <v>100</v>
      </c>
      <c r="H102" s="114"/>
      <c r="J102" s="258" t="s">
        <v>2</v>
      </c>
      <c r="K102" s="6"/>
      <c r="L102" s="120"/>
      <c r="M102" s="120"/>
      <c r="N102" s="286">
        <f>SUM(N97:N101)</f>
        <v>922.62321134408376</v>
      </c>
    </row>
    <row r="103" spans="1:14" ht="15.75" x14ac:dyDescent="0.25">
      <c r="A103" s="14">
        <f t="shared" si="3"/>
        <v>101</v>
      </c>
      <c r="B103" s="233" t="s">
        <v>184</v>
      </c>
      <c r="C103" s="6"/>
      <c r="D103" s="16"/>
      <c r="E103" s="16"/>
      <c r="F103" s="9"/>
      <c r="G103" s="14">
        <f t="shared" si="4"/>
        <v>101</v>
      </c>
      <c r="H103" s="114"/>
      <c r="J103" s="258"/>
      <c r="K103" s="6"/>
      <c r="L103" s="120"/>
      <c r="M103" s="120"/>
      <c r="N103" s="232"/>
    </row>
    <row r="104" spans="1:14" ht="15.75" x14ac:dyDescent="0.25">
      <c r="A104" s="14">
        <f t="shared" si="3"/>
        <v>102</v>
      </c>
      <c r="B104" s="233" t="s">
        <v>21</v>
      </c>
      <c r="C104" s="6"/>
      <c r="D104" s="16"/>
      <c r="E104" s="16"/>
      <c r="F104" s="9"/>
      <c r="G104" s="14">
        <f t="shared" si="4"/>
        <v>102</v>
      </c>
      <c r="H104" s="114"/>
      <c r="J104" s="258" t="s">
        <v>61</v>
      </c>
      <c r="K104" s="6"/>
      <c r="L104" s="120"/>
      <c r="M104" s="120"/>
      <c r="N104" s="232"/>
    </row>
    <row r="105" spans="1:14" ht="15.75" x14ac:dyDescent="0.25">
      <c r="A105" s="14">
        <f t="shared" si="3"/>
        <v>103</v>
      </c>
      <c r="B105" s="233" t="s">
        <v>203</v>
      </c>
      <c r="C105" s="6">
        <v>7468.9999999999982</v>
      </c>
      <c r="D105" s="16">
        <v>35.712552755407827</v>
      </c>
      <c r="E105" s="16">
        <f>D105*$C$146</f>
        <v>78.689539250124227</v>
      </c>
      <c r="F105" s="9">
        <f>E105*C105/1000</f>
        <v>587.73216865917777</v>
      </c>
      <c r="G105" s="14">
        <f t="shared" si="4"/>
        <v>103</v>
      </c>
      <c r="H105" s="114"/>
      <c r="J105" s="258" t="s">
        <v>21</v>
      </c>
      <c r="K105" s="289">
        <v>6964820.7940105591</v>
      </c>
      <c r="L105" s="120"/>
      <c r="M105" s="272">
        <v>2.95</v>
      </c>
      <c r="N105" s="259">
        <f>M105*K105/1000</f>
        <v>20546.221342331151</v>
      </c>
    </row>
    <row r="106" spans="1:14" ht="15.75" x14ac:dyDescent="0.25">
      <c r="A106" s="14">
        <f t="shared" si="3"/>
        <v>104</v>
      </c>
      <c r="B106" s="233" t="s">
        <v>204</v>
      </c>
      <c r="C106" s="18">
        <v>10986.729842367813</v>
      </c>
      <c r="D106" s="17">
        <v>172.84279317273527</v>
      </c>
      <c r="E106" s="17">
        <f>D106*$C$146</f>
        <v>380.84423285612127</v>
      </c>
      <c r="F106" s="110">
        <f>E106*C106/1000</f>
        <v>4184.2326984140236</v>
      </c>
      <c r="G106" s="14">
        <f t="shared" si="4"/>
        <v>104</v>
      </c>
      <c r="H106" s="114"/>
      <c r="J106" s="258" t="s">
        <v>22</v>
      </c>
      <c r="K106" s="289">
        <v>1041772.5294418911</v>
      </c>
      <c r="L106" s="120"/>
      <c r="M106" s="272">
        <v>2.84</v>
      </c>
      <c r="N106" s="259">
        <f>M106*K106/1000</f>
        <v>2958.6339836149705</v>
      </c>
    </row>
    <row r="107" spans="1:14" ht="15.75" x14ac:dyDescent="0.25">
      <c r="A107" s="14">
        <f t="shared" si="3"/>
        <v>105</v>
      </c>
      <c r="B107" s="233" t="s">
        <v>42</v>
      </c>
      <c r="C107" s="6">
        <f>SUM(C105:C106)</f>
        <v>18455.729842367811</v>
      </c>
      <c r="D107" s="16">
        <v>117.34643651683325</v>
      </c>
      <c r="E107" s="16">
        <f>D107*$C$146</f>
        <v>258.56278282305925</v>
      </c>
      <c r="F107" s="9">
        <f>E107*C107/1000</f>
        <v>4771.9648670732013</v>
      </c>
      <c r="G107" s="14">
        <f t="shared" si="4"/>
        <v>105</v>
      </c>
      <c r="H107" s="114"/>
      <c r="J107" s="258" t="s">
        <v>53</v>
      </c>
      <c r="K107" s="289">
        <v>179229.67704342108</v>
      </c>
      <c r="L107" s="120"/>
      <c r="M107" s="272">
        <v>2.95</v>
      </c>
      <c r="N107" s="259">
        <f>M107*K107/1000</f>
        <v>528.72754727809229</v>
      </c>
    </row>
    <row r="108" spans="1:14" ht="15.75" x14ac:dyDescent="0.25">
      <c r="A108" s="14">
        <f t="shared" si="3"/>
        <v>106</v>
      </c>
      <c r="B108" s="233"/>
      <c r="C108" s="6"/>
      <c r="D108" s="16"/>
      <c r="E108" s="16"/>
      <c r="F108" s="9"/>
      <c r="G108" s="14">
        <f t="shared" si="4"/>
        <v>106</v>
      </c>
      <c r="H108" s="114"/>
      <c r="J108" s="258" t="s">
        <v>52</v>
      </c>
      <c r="K108" s="289">
        <v>826975.81047192577</v>
      </c>
      <c r="L108" s="120"/>
      <c r="M108" s="272">
        <v>2.84</v>
      </c>
      <c r="N108" s="259">
        <f>M108*K108/1000</f>
        <v>2348.611301740269</v>
      </c>
    </row>
    <row r="109" spans="1:14" ht="15.75" x14ac:dyDescent="0.25">
      <c r="A109" s="14">
        <f t="shared" si="3"/>
        <v>107</v>
      </c>
      <c r="B109" s="233" t="s">
        <v>22</v>
      </c>
      <c r="C109" s="6"/>
      <c r="D109" s="16"/>
      <c r="E109" s="16"/>
      <c r="F109" s="9"/>
      <c r="G109" s="14">
        <f t="shared" si="4"/>
        <v>107</v>
      </c>
      <c r="H109" s="114"/>
      <c r="J109" s="258" t="s">
        <v>24</v>
      </c>
      <c r="K109" s="289">
        <v>294243.86497131689</v>
      </c>
      <c r="L109" s="120"/>
      <c r="M109" s="272">
        <v>2.83</v>
      </c>
      <c r="N109" s="267">
        <f>M109*K109/1000</f>
        <v>832.71013786882691</v>
      </c>
    </row>
    <row r="110" spans="1:14" ht="15.75" x14ac:dyDescent="0.25">
      <c r="A110" s="14">
        <f t="shared" si="3"/>
        <v>108</v>
      </c>
      <c r="B110" s="233" t="s">
        <v>203</v>
      </c>
      <c r="C110" s="6">
        <v>60.000000000000014</v>
      </c>
      <c r="D110" s="16">
        <v>47.26296508476787</v>
      </c>
      <c r="E110" s="16">
        <f>D110*$C$146</f>
        <v>104.13987965483429</v>
      </c>
      <c r="F110" s="9">
        <f>E110*C110/1000</f>
        <v>6.2483927792900582</v>
      </c>
      <c r="G110" s="14">
        <f t="shared" si="4"/>
        <v>108</v>
      </c>
      <c r="H110" s="114"/>
      <c r="J110" s="258" t="s">
        <v>2</v>
      </c>
      <c r="K110" s="6"/>
      <c r="L110" s="120"/>
      <c r="M110" s="120"/>
      <c r="N110" s="286">
        <f>SUM(N105:N109)</f>
        <v>27214.904312833311</v>
      </c>
    </row>
    <row r="111" spans="1:14" ht="15.75" x14ac:dyDescent="0.25">
      <c r="A111" s="14">
        <f t="shared" si="3"/>
        <v>109</v>
      </c>
      <c r="B111" s="233" t="s">
        <v>204</v>
      </c>
      <c r="C111" s="18">
        <v>508.50121578656467</v>
      </c>
      <c r="D111" s="17">
        <v>74.243549331912249</v>
      </c>
      <c r="E111" s="17">
        <f>D111*$C$146</f>
        <v>163.58927711594015</v>
      </c>
      <c r="F111" s="110">
        <f>E111*C111/1000</f>
        <v>83.185346303100815</v>
      </c>
      <c r="G111" s="14">
        <f t="shared" si="4"/>
        <v>109</v>
      </c>
      <c r="H111" s="114"/>
      <c r="J111" s="258"/>
      <c r="K111" s="6"/>
      <c r="L111" s="120"/>
      <c r="M111" s="120"/>
      <c r="N111" s="232"/>
    </row>
    <row r="112" spans="1:14" ht="15.75" x14ac:dyDescent="0.25">
      <c r="A112" s="14">
        <f t="shared" si="3"/>
        <v>110</v>
      </c>
      <c r="B112" s="233" t="s">
        <v>205</v>
      </c>
      <c r="C112" s="6">
        <f>SUM(C110:C111)</f>
        <v>568.50121578656467</v>
      </c>
      <c r="D112" s="16">
        <v>71.396000355981073</v>
      </c>
      <c r="E112" s="16">
        <f>D112*$C$146</f>
        <v>157.31494779417926</v>
      </c>
      <c r="F112" s="9">
        <f>E112*C112/1000</f>
        <v>89.433739082390858</v>
      </c>
      <c r="G112" s="14">
        <f t="shared" si="4"/>
        <v>110</v>
      </c>
      <c r="H112" s="114"/>
      <c r="J112" s="258" t="s">
        <v>62</v>
      </c>
      <c r="K112" s="6"/>
      <c r="L112" s="120"/>
      <c r="M112" s="120"/>
      <c r="N112" s="232"/>
    </row>
    <row r="113" spans="1:19" ht="15.75" x14ac:dyDescent="0.25">
      <c r="A113" s="14">
        <f t="shared" si="3"/>
        <v>111</v>
      </c>
      <c r="B113" s="233"/>
      <c r="C113" s="6"/>
      <c r="D113" s="16"/>
      <c r="E113" s="16"/>
      <c r="F113" s="9"/>
      <c r="G113" s="14">
        <f t="shared" si="4"/>
        <v>111</v>
      </c>
      <c r="H113" s="114"/>
      <c r="J113" s="258" t="s">
        <v>21</v>
      </c>
      <c r="K113" s="289">
        <v>8333126.8584744409</v>
      </c>
      <c r="L113" s="120"/>
      <c r="M113" s="272">
        <v>0.61</v>
      </c>
      <c r="N113" s="259">
        <f>M113*K113/1000</f>
        <v>5083.207383669409</v>
      </c>
    </row>
    <row r="114" spans="1:19" ht="15.75" x14ac:dyDescent="0.25">
      <c r="A114" s="14">
        <f t="shared" si="3"/>
        <v>112</v>
      </c>
      <c r="B114" s="233" t="s">
        <v>186</v>
      </c>
      <c r="C114" s="6"/>
      <c r="D114" s="16"/>
      <c r="E114" s="16"/>
      <c r="F114" s="9"/>
      <c r="G114" s="14">
        <f t="shared" si="4"/>
        <v>112</v>
      </c>
      <c r="H114" s="114"/>
      <c r="J114" s="258" t="s">
        <v>22</v>
      </c>
      <c r="K114" s="289">
        <v>1244140.980610477</v>
      </c>
      <c r="L114" s="120"/>
      <c r="M114" s="272">
        <v>0.59</v>
      </c>
      <c r="N114" s="259">
        <f>M114*K114/1000</f>
        <v>734.04317856018145</v>
      </c>
    </row>
    <row r="115" spans="1:19" ht="15.75" x14ac:dyDescent="0.25">
      <c r="A115" s="14">
        <f t="shared" si="3"/>
        <v>113</v>
      </c>
      <c r="B115" s="233" t="s">
        <v>21</v>
      </c>
      <c r="C115" s="6">
        <v>410303.4041789269</v>
      </c>
      <c r="D115" s="16">
        <f>D117*D120/D122</f>
        <v>0.98499412637573269</v>
      </c>
      <c r="E115" s="16">
        <f>D115*$C$146</f>
        <v>2.170349862678135</v>
      </c>
      <c r="F115" s="9">
        <f>E115*C115/1000</f>
        <v>890.50193691610536</v>
      </c>
      <c r="G115" s="14">
        <f t="shared" si="4"/>
        <v>113</v>
      </c>
      <c r="H115" s="114"/>
      <c r="J115" s="258" t="s">
        <v>53</v>
      </c>
      <c r="K115" s="289">
        <v>217570.41982983725</v>
      </c>
      <c r="L115" s="120"/>
      <c r="M115" s="272">
        <v>0.61</v>
      </c>
      <c r="N115" s="259">
        <f>M115*K115/1000</f>
        <v>132.71795609620071</v>
      </c>
    </row>
    <row r="116" spans="1:19" ht="15.75" x14ac:dyDescent="0.25">
      <c r="A116" s="14">
        <f t="shared" si="3"/>
        <v>114</v>
      </c>
      <c r="B116" s="233" t="s">
        <v>22</v>
      </c>
      <c r="C116" s="18">
        <v>50344.383369721429</v>
      </c>
      <c r="D116" s="17">
        <f>D117*D121/D122</f>
        <v>0.97992053920239286</v>
      </c>
      <c r="E116" s="17">
        <f>D116*$C$146</f>
        <v>2.1591706495944387</v>
      </c>
      <c r="F116" s="110">
        <f>E116*C116/1000</f>
        <v>108.70211494383287</v>
      </c>
      <c r="G116" s="14">
        <f t="shared" si="4"/>
        <v>114</v>
      </c>
      <c r="H116" s="114"/>
      <c r="J116" s="258" t="s">
        <v>52</v>
      </c>
      <c r="K116" s="289">
        <v>1060000.7408237595</v>
      </c>
      <c r="L116" s="120"/>
      <c r="M116" s="272">
        <v>0.59</v>
      </c>
      <c r="N116" s="259">
        <f>M116*K116/1000</f>
        <v>625.40043708601809</v>
      </c>
    </row>
    <row r="117" spans="1:19" ht="15.75" x14ac:dyDescent="0.25">
      <c r="A117" s="14">
        <f t="shared" si="3"/>
        <v>115</v>
      </c>
      <c r="B117" s="233" t="s">
        <v>2</v>
      </c>
      <c r="C117" s="6">
        <f>C115+C116</f>
        <v>460647.78754864831</v>
      </c>
      <c r="D117" s="16">
        <v>0.98444091122400845</v>
      </c>
      <c r="E117" s="16">
        <f>D117*$C$146</f>
        <v>2.1691309006595554</v>
      </c>
      <c r="F117" s="9">
        <f>E117*C117/1000</f>
        <v>999.20535029223106</v>
      </c>
      <c r="G117" s="14">
        <f t="shared" si="4"/>
        <v>115</v>
      </c>
      <c r="H117" s="114"/>
      <c r="J117" s="258" t="s">
        <v>24</v>
      </c>
      <c r="K117" s="289">
        <v>296771.18993267621</v>
      </c>
      <c r="L117" s="120"/>
      <c r="M117" s="272">
        <v>0.59</v>
      </c>
      <c r="N117" s="267">
        <f>M117*K117/1000</f>
        <v>175.09500206027897</v>
      </c>
    </row>
    <row r="118" spans="1:19" ht="15.75" x14ac:dyDescent="0.25">
      <c r="A118" s="14">
        <f t="shared" si="3"/>
        <v>116</v>
      </c>
      <c r="B118" s="233"/>
      <c r="C118" s="6"/>
      <c r="D118" s="16"/>
      <c r="E118" s="16"/>
      <c r="F118" s="9"/>
      <c r="G118" s="14">
        <f t="shared" si="4"/>
        <v>116</v>
      </c>
      <c r="H118" s="114"/>
      <c r="J118" s="258" t="s">
        <v>2</v>
      </c>
      <c r="K118" s="6"/>
      <c r="L118" s="120"/>
      <c r="M118" s="120"/>
      <c r="N118" s="286">
        <f>SUM(N113:N117)</f>
        <v>6750.4639574720877</v>
      </c>
    </row>
    <row r="119" spans="1:19" ht="15.75" x14ac:dyDescent="0.25">
      <c r="A119" s="14">
        <f t="shared" si="3"/>
        <v>117</v>
      </c>
      <c r="B119" s="233" t="s">
        <v>187</v>
      </c>
      <c r="C119" s="6"/>
      <c r="D119" s="16"/>
      <c r="E119" s="16"/>
      <c r="F119" s="9"/>
      <c r="G119" s="14">
        <f t="shared" si="4"/>
        <v>117</v>
      </c>
      <c r="H119" s="114"/>
      <c r="J119" s="258"/>
      <c r="K119" s="6"/>
      <c r="L119" s="120"/>
      <c r="M119" s="120"/>
      <c r="N119" s="232"/>
    </row>
    <row r="120" spans="1:19" ht="15.75" x14ac:dyDescent="0.25">
      <c r="A120" s="14">
        <f t="shared" si="3"/>
        <v>118</v>
      </c>
      <c r="B120" s="233" t="s">
        <v>21</v>
      </c>
      <c r="C120" s="6">
        <v>1476932.2183486968</v>
      </c>
      <c r="D120" s="16">
        <v>4.7778754869050593</v>
      </c>
      <c r="E120" s="16">
        <f>D120*$C$146</f>
        <v>10.527637809427958</v>
      </c>
      <c r="F120" s="9">
        <f>E120*C120/1000</f>
        <v>15548.607463850049</v>
      </c>
      <c r="G120" s="14">
        <f t="shared" si="4"/>
        <v>118</v>
      </c>
      <c r="H120" s="114"/>
      <c r="J120" s="258" t="s">
        <v>36</v>
      </c>
      <c r="K120" s="6"/>
      <c r="L120" s="120"/>
      <c r="M120" s="120"/>
      <c r="N120" s="232"/>
    </row>
    <row r="121" spans="1:19" ht="15.75" x14ac:dyDescent="0.25">
      <c r="A121" s="14">
        <f t="shared" si="3"/>
        <v>119</v>
      </c>
      <c r="B121" s="233" t="s">
        <v>22</v>
      </c>
      <c r="C121" s="18">
        <v>180750.89336739367</v>
      </c>
      <c r="D121" s="17">
        <v>4.7532652205724366</v>
      </c>
      <c r="E121" s="17">
        <f>D121*$C$146</f>
        <v>10.473411203679545</v>
      </c>
      <c r="F121" s="110">
        <f>E121*C121/1000</f>
        <v>1893.0784316691477</v>
      </c>
      <c r="G121" s="14">
        <f t="shared" si="4"/>
        <v>119</v>
      </c>
      <c r="H121" s="114"/>
      <c r="J121" s="258" t="s">
        <v>53</v>
      </c>
      <c r="K121" s="289">
        <f>K91</f>
        <v>412144.17055105162</v>
      </c>
      <c r="L121" s="120"/>
      <c r="M121" s="272">
        <v>49.74</v>
      </c>
      <c r="N121" s="290">
        <f>M121/12*K121/1000</f>
        <v>1708.3375869341091</v>
      </c>
      <c r="P121" s="291">
        <f>M121/12</f>
        <v>4.1450000000000005</v>
      </c>
      <c r="Q121" s="292">
        <f>M83</f>
        <v>17.846934660161626</v>
      </c>
      <c r="R121" s="292">
        <f>Q121-P121</f>
        <v>13.701934660161626</v>
      </c>
      <c r="S121" s="293">
        <f>K121*R121</f>
        <v>5647172.4954570187</v>
      </c>
    </row>
    <row r="122" spans="1:19" ht="17.25" x14ac:dyDescent="0.35">
      <c r="A122" s="14">
        <f t="shared" si="3"/>
        <v>120</v>
      </c>
      <c r="B122" s="233" t="s">
        <v>2</v>
      </c>
      <c r="C122" s="6">
        <f>SUM(C120:C121)</f>
        <v>1657683.1117160905</v>
      </c>
      <c r="D122" s="16">
        <v>4.7751920261192238</v>
      </c>
      <c r="E122" s="16">
        <f>D122*$C$146</f>
        <v>10.521725034323937</v>
      </c>
      <c r="F122" s="9">
        <f>E122*C122/1000</f>
        <v>17441.685895519193</v>
      </c>
      <c r="G122" s="14">
        <f t="shared" si="4"/>
        <v>120</v>
      </c>
      <c r="H122" s="114"/>
      <c r="J122" s="258" t="s">
        <v>52</v>
      </c>
      <c r="K122" s="289">
        <f>K92</f>
        <v>2040765.8027397201</v>
      </c>
      <c r="L122" s="120"/>
      <c r="M122" s="272">
        <v>49.74</v>
      </c>
      <c r="N122" s="294">
        <f>M122/12*K122/1000</f>
        <v>8458.9742523561399</v>
      </c>
      <c r="P122" s="291">
        <f>M122/12</f>
        <v>4.1450000000000005</v>
      </c>
      <c r="Q122" s="292">
        <f>M84</f>
        <v>17.755007229986585</v>
      </c>
      <c r="R122" s="291">
        <f>Q122-P122</f>
        <v>13.610007229986586</v>
      </c>
      <c r="S122" s="295">
        <f>K122*R122</f>
        <v>27774837.32999697</v>
      </c>
    </row>
    <row r="123" spans="1:19" ht="15.75" x14ac:dyDescent="0.25">
      <c r="A123" s="14">
        <f t="shared" si="3"/>
        <v>121</v>
      </c>
      <c r="B123" s="233"/>
      <c r="C123" s="6"/>
      <c r="D123" s="16"/>
      <c r="E123" s="16"/>
      <c r="F123" s="9"/>
      <c r="G123" s="14">
        <f t="shared" si="4"/>
        <v>121</v>
      </c>
      <c r="H123" s="114"/>
      <c r="J123" s="258" t="s">
        <v>2</v>
      </c>
      <c r="K123" s="6"/>
      <c r="L123" s="120"/>
      <c r="M123" s="120"/>
      <c r="N123" s="290">
        <f>SUM(N121:N122)</f>
        <v>10167.311839290249</v>
      </c>
      <c r="P123" s="13"/>
      <c r="Q123" s="13"/>
      <c r="R123" s="13"/>
      <c r="S123" s="296">
        <f>SUM(S121:S122)</f>
        <v>33422009.825453989</v>
      </c>
    </row>
    <row r="124" spans="1:19" ht="15.75" x14ac:dyDescent="0.25">
      <c r="A124" s="14">
        <f t="shared" si="3"/>
        <v>122</v>
      </c>
      <c r="B124" s="288" t="s">
        <v>207</v>
      </c>
      <c r="C124" s="243"/>
      <c r="D124" s="243"/>
      <c r="E124" s="6"/>
      <c r="F124" s="111"/>
      <c r="G124" s="14">
        <f t="shared" si="4"/>
        <v>122</v>
      </c>
      <c r="H124" s="114"/>
      <c r="J124" s="258"/>
      <c r="K124" s="6"/>
      <c r="L124" s="120"/>
      <c r="M124" s="120"/>
      <c r="N124" s="232"/>
    </row>
    <row r="125" spans="1:19" ht="15.75" x14ac:dyDescent="0.25">
      <c r="A125" s="14">
        <f t="shared" si="3"/>
        <v>123</v>
      </c>
      <c r="B125" s="233" t="s">
        <v>208</v>
      </c>
      <c r="C125" s="6">
        <v>3288</v>
      </c>
      <c r="D125" s="287">
        <v>0.63648397622443142</v>
      </c>
      <c r="E125" s="287">
        <f>D125*$C$146</f>
        <v>1.4024377134900665</v>
      </c>
      <c r="F125" s="9">
        <f>E125*C125/1000</f>
        <v>4.6112152019553383</v>
      </c>
      <c r="G125" s="14">
        <f t="shared" si="4"/>
        <v>123</v>
      </c>
      <c r="H125" s="114"/>
      <c r="J125" s="258" t="s">
        <v>96</v>
      </c>
      <c r="K125" s="6"/>
      <c r="L125" s="120"/>
      <c r="M125" s="120"/>
      <c r="N125" s="232"/>
    </row>
    <row r="126" spans="1:19" ht="15.75" x14ac:dyDescent="0.25">
      <c r="A126" s="14">
        <f t="shared" si="3"/>
        <v>124</v>
      </c>
      <c r="B126" s="233" t="s">
        <v>186</v>
      </c>
      <c r="C126" s="6">
        <v>1051.5945246956842</v>
      </c>
      <c r="D126" s="16">
        <v>0.27371658784269837</v>
      </c>
      <c r="E126" s="16">
        <f>D126*$C$146</f>
        <v>0.60311096577089596</v>
      </c>
      <c r="F126" s="9">
        <f>E126*C126/1000</f>
        <v>0.63422818938860037</v>
      </c>
      <c r="G126" s="14">
        <f t="shared" si="4"/>
        <v>124</v>
      </c>
      <c r="H126" s="114"/>
      <c r="J126" s="258" t="s">
        <v>54</v>
      </c>
      <c r="K126" s="6"/>
      <c r="L126" s="120"/>
      <c r="M126" s="120"/>
      <c r="N126" s="232"/>
    </row>
    <row r="127" spans="1:19" ht="15.75" x14ac:dyDescent="0.25">
      <c r="A127" s="14">
        <f t="shared" si="3"/>
        <v>125</v>
      </c>
      <c r="B127" s="233" t="s">
        <v>187</v>
      </c>
      <c r="C127" s="18">
        <v>1051.5945246956842</v>
      </c>
      <c r="D127" s="17">
        <v>4.7778754869050593</v>
      </c>
      <c r="E127" s="17">
        <f>D127*$C$146</f>
        <v>10.527637809427958</v>
      </c>
      <c r="F127" s="110">
        <f>E127*C127/1000</f>
        <v>11.070806278373707</v>
      </c>
      <c r="G127" s="14">
        <f t="shared" si="4"/>
        <v>125</v>
      </c>
      <c r="H127" s="114"/>
      <c r="J127" s="258" t="s">
        <v>59</v>
      </c>
      <c r="K127" s="289">
        <v>642297250.24438119</v>
      </c>
      <c r="L127" s="120"/>
      <c r="M127" s="272">
        <v>6.8000000000000005E-4</v>
      </c>
      <c r="N127" s="297">
        <f>K127*M127/1000</f>
        <v>436.76213016617925</v>
      </c>
    </row>
    <row r="128" spans="1:19" ht="15.75" x14ac:dyDescent="0.25">
      <c r="A128" s="14">
        <f t="shared" si="3"/>
        <v>126</v>
      </c>
      <c r="B128" s="233" t="s">
        <v>209</v>
      </c>
      <c r="C128" s="233"/>
      <c r="D128" s="233"/>
      <c r="E128" s="6"/>
      <c r="F128" s="9">
        <f>SUM(F125:F127)</f>
        <v>16.316249669717646</v>
      </c>
      <c r="G128" s="14">
        <f t="shared" si="4"/>
        <v>126</v>
      </c>
      <c r="H128" s="114"/>
      <c r="J128" s="258" t="s">
        <v>56</v>
      </c>
      <c r="K128" s="289">
        <v>104009380.91185859</v>
      </c>
      <c r="L128" s="120"/>
      <c r="M128" s="272">
        <v>6.8000000000000005E-4</v>
      </c>
      <c r="N128" s="297">
        <f>K128*M128/1000</f>
        <v>70.726379020063845</v>
      </c>
    </row>
    <row r="129" spans="1:14" ht="15.75" x14ac:dyDescent="0.25">
      <c r="A129" s="14">
        <f t="shared" si="3"/>
        <v>127</v>
      </c>
      <c r="B129" s="233"/>
      <c r="C129" s="6"/>
      <c r="D129" s="16"/>
      <c r="E129" s="16"/>
      <c r="F129" s="9"/>
      <c r="G129" s="14">
        <f t="shared" si="4"/>
        <v>127</v>
      </c>
      <c r="H129" s="114"/>
      <c r="J129" s="258" t="s">
        <v>60</v>
      </c>
      <c r="K129" s="289">
        <v>20761933.096102741</v>
      </c>
      <c r="L129" s="120"/>
      <c r="M129" s="272">
        <v>0</v>
      </c>
      <c r="N129" s="297">
        <f>K129*M129/1000</f>
        <v>0</v>
      </c>
    </row>
    <row r="130" spans="1:14" ht="15.75" x14ac:dyDescent="0.25">
      <c r="A130" s="14">
        <f t="shared" si="3"/>
        <v>128</v>
      </c>
      <c r="B130" s="233" t="s">
        <v>212</v>
      </c>
      <c r="C130" s="6"/>
      <c r="D130" s="16"/>
      <c r="E130" s="16"/>
      <c r="F130" s="9">
        <f>F107+F112+F117+F122+F128</f>
        <v>23318.606101636735</v>
      </c>
      <c r="G130" s="14">
        <f t="shared" si="4"/>
        <v>128</v>
      </c>
      <c r="H130" s="114"/>
      <c r="J130" s="258" t="s">
        <v>57</v>
      </c>
      <c r="K130" s="289">
        <v>91738780.985129997</v>
      </c>
      <c r="L130" s="120"/>
      <c r="M130" s="272">
        <v>0</v>
      </c>
      <c r="N130" s="297">
        <f>K130*M130/1000</f>
        <v>0</v>
      </c>
    </row>
    <row r="131" spans="1:14" ht="15.75" x14ac:dyDescent="0.25">
      <c r="A131" s="14">
        <f t="shared" si="3"/>
        <v>129</v>
      </c>
      <c r="B131" s="229"/>
      <c r="C131" s="192"/>
      <c r="D131" s="192"/>
      <c r="E131" s="6"/>
      <c r="F131" s="111"/>
      <c r="G131" s="14">
        <f t="shared" si="4"/>
        <v>129</v>
      </c>
      <c r="H131" s="114"/>
      <c r="J131" s="258" t="s">
        <v>58</v>
      </c>
      <c r="K131" s="289">
        <v>15490058.344441393</v>
      </c>
      <c r="L131" s="120"/>
      <c r="M131" s="272">
        <v>0</v>
      </c>
      <c r="N131" s="297">
        <f>K131*M131/1000</f>
        <v>0</v>
      </c>
    </row>
    <row r="132" spans="1:14" ht="15.75" x14ac:dyDescent="0.25">
      <c r="A132" s="14">
        <f>A131+1</f>
        <v>130</v>
      </c>
      <c r="B132" s="229" t="s">
        <v>213</v>
      </c>
      <c r="C132" s="229"/>
      <c r="D132" s="262"/>
      <c r="E132" s="6"/>
      <c r="F132" s="111"/>
      <c r="G132" s="14">
        <f>G131+1</f>
        <v>130</v>
      </c>
      <c r="H132" s="116"/>
      <c r="J132" s="258" t="s">
        <v>214</v>
      </c>
      <c r="K132" s="289"/>
      <c r="L132" s="120"/>
      <c r="M132" s="120"/>
      <c r="N132" s="232"/>
    </row>
    <row r="133" spans="1:14" ht="15.75" x14ac:dyDescent="0.25">
      <c r="A133" s="14">
        <f>A132+1</f>
        <v>131</v>
      </c>
      <c r="B133" s="233" t="s">
        <v>184</v>
      </c>
      <c r="C133" s="6"/>
      <c r="D133" s="16"/>
      <c r="E133" s="192"/>
      <c r="F133" s="9">
        <f>F4+F16+F23+F43+F49+F55+F76+F81+F107+F112+F125+F96</f>
        <v>583848.60245869868</v>
      </c>
      <c r="G133" s="14">
        <f>G132+1</f>
        <v>131</v>
      </c>
      <c r="H133" s="6"/>
      <c r="J133" s="258" t="s">
        <v>59</v>
      </c>
      <c r="K133" s="289">
        <v>1394638167.6784539</v>
      </c>
      <c r="L133" s="120"/>
      <c r="M133" s="272">
        <v>6.8000000000000005E-4</v>
      </c>
      <c r="N133" s="297">
        <f>K133*M133/1000</f>
        <v>948.35395402134873</v>
      </c>
    </row>
    <row r="134" spans="1:14" ht="15.75" x14ac:dyDescent="0.25">
      <c r="A134" s="14">
        <f>A133+1</f>
        <v>132</v>
      </c>
      <c r="B134" s="233" t="s">
        <v>186</v>
      </c>
      <c r="C134" s="6"/>
      <c r="D134" s="16"/>
      <c r="E134" s="192"/>
      <c r="F134" s="9">
        <f>F5+F28+F61+F86+F117+F126+F97</f>
        <v>53703.622319133021</v>
      </c>
      <c r="G134" s="14">
        <f>G133+1</f>
        <v>132</v>
      </c>
      <c r="H134" s="6"/>
      <c r="J134" s="258" t="s">
        <v>56</v>
      </c>
      <c r="K134" s="289">
        <v>226068235.79433122</v>
      </c>
      <c r="L134" s="120"/>
      <c r="M134" s="272">
        <v>6.8000000000000005E-4</v>
      </c>
      <c r="N134" s="297">
        <f>K134*M134/1000</f>
        <v>153.72640034014526</v>
      </c>
    </row>
    <row r="135" spans="1:14" ht="15.75" x14ac:dyDescent="0.25">
      <c r="A135" s="14">
        <f>A134+1</f>
        <v>133</v>
      </c>
      <c r="B135" s="233" t="s">
        <v>187</v>
      </c>
      <c r="C135" s="298"/>
      <c r="D135" s="298"/>
      <c r="E135" s="192"/>
      <c r="F135" s="110">
        <f>F6+F33+F67+F91+F122+F127+F98</f>
        <v>936252.02405009093</v>
      </c>
      <c r="G135" s="14">
        <f>G134+1</f>
        <v>133</v>
      </c>
      <c r="H135" s="6"/>
      <c r="J135" s="258" t="s">
        <v>60</v>
      </c>
      <c r="K135" s="289">
        <v>42991554.383431114</v>
      </c>
      <c r="L135" s="120"/>
      <c r="M135" s="272">
        <v>0</v>
      </c>
      <c r="N135" s="297">
        <f>K135*M135/1000</f>
        <v>0</v>
      </c>
    </row>
    <row r="136" spans="1:14" ht="15.75" x14ac:dyDescent="0.25">
      <c r="A136" s="14">
        <f>A135+1</f>
        <v>134</v>
      </c>
      <c r="B136" s="233" t="s">
        <v>215</v>
      </c>
      <c r="E136" s="6"/>
      <c r="F136" s="9">
        <f>SUM(F133:F135)</f>
        <v>1573804.2488279226</v>
      </c>
      <c r="G136" s="14">
        <f>G135+1</f>
        <v>134</v>
      </c>
      <c r="J136" s="258" t="s">
        <v>57</v>
      </c>
      <c r="K136" s="289">
        <v>194590151.83149725</v>
      </c>
      <c r="L136" s="120"/>
      <c r="M136" s="272">
        <v>0</v>
      </c>
      <c r="N136" s="297">
        <f>K136*M136/1000</f>
        <v>0</v>
      </c>
    </row>
    <row r="137" spans="1:14" ht="15.75" x14ac:dyDescent="0.25">
      <c r="C137" s="263"/>
      <c r="D137" s="263"/>
      <c r="E137" s="299"/>
      <c r="F137" s="263"/>
      <c r="J137" s="258" t="s">
        <v>58</v>
      </c>
      <c r="K137" s="289">
        <v>33334717.707748603</v>
      </c>
      <c r="L137" s="120"/>
      <c r="M137" s="272">
        <v>0</v>
      </c>
      <c r="N137" s="297">
        <f>K137*M137/1000</f>
        <v>0</v>
      </c>
    </row>
    <row r="138" spans="1:14" ht="15.75" x14ac:dyDescent="0.25">
      <c r="B138" s="117" t="s">
        <v>33</v>
      </c>
      <c r="C138" s="300">
        <v>1588810.5963073699</v>
      </c>
      <c r="D138" s="301"/>
      <c r="J138" s="258" t="s">
        <v>216</v>
      </c>
      <c r="K138" s="289"/>
      <c r="L138" s="120"/>
      <c r="M138" s="120"/>
      <c r="N138" s="232"/>
    </row>
    <row r="139" spans="1:14" ht="17.25" x14ac:dyDescent="0.35">
      <c r="B139" s="118" t="s">
        <v>32</v>
      </c>
      <c r="C139" s="302">
        <v>15006.347479447511</v>
      </c>
      <c r="D139" s="303"/>
      <c r="J139" s="258" t="s">
        <v>59</v>
      </c>
      <c r="K139" s="289">
        <v>782206250.77901721</v>
      </c>
      <c r="L139" s="120"/>
      <c r="M139" s="272">
        <v>6.8000000000000005E-4</v>
      </c>
      <c r="N139" s="297">
        <f>K139*M139/1000</f>
        <v>531.90025052973169</v>
      </c>
    </row>
    <row r="140" spans="1:14" ht="15.75" x14ac:dyDescent="0.25">
      <c r="B140" s="118" t="s">
        <v>34</v>
      </c>
      <c r="C140" s="304">
        <f>C138-C139</f>
        <v>1573804.2488279224</v>
      </c>
      <c r="D140" s="301"/>
      <c r="J140" s="258" t="s">
        <v>56</v>
      </c>
      <c r="K140" s="289">
        <v>139858778.71060109</v>
      </c>
      <c r="L140" s="120"/>
      <c r="M140" s="272">
        <v>6.8000000000000005E-4</v>
      </c>
      <c r="N140" s="297">
        <f>K140*M140/1000</f>
        <v>95.103969523208761</v>
      </c>
    </row>
    <row r="141" spans="1:14" ht="15.75" x14ac:dyDescent="0.25">
      <c r="B141" s="305" t="s">
        <v>19</v>
      </c>
      <c r="C141" s="306"/>
      <c r="D141" s="307"/>
      <c r="J141" s="258" t="s">
        <v>60</v>
      </c>
      <c r="K141" s="289">
        <v>29143674.412383914</v>
      </c>
      <c r="L141" s="120"/>
      <c r="M141" s="272">
        <v>0</v>
      </c>
      <c r="N141" s="297">
        <f>K141*M141/1000</f>
        <v>0</v>
      </c>
    </row>
    <row r="142" spans="1:14" ht="15.75" x14ac:dyDescent="0.25">
      <c r="B142" s="308" t="s">
        <v>25</v>
      </c>
      <c r="C142" s="309">
        <v>264974.53429230099</v>
      </c>
      <c r="D142" s="310"/>
      <c r="J142" s="258" t="s">
        <v>57</v>
      </c>
      <c r="K142" s="289">
        <v>134221186.62781554</v>
      </c>
      <c r="L142" s="120"/>
      <c r="M142" s="272">
        <v>0</v>
      </c>
      <c r="N142" s="297">
        <f>K142*M142/1000</f>
        <v>0</v>
      </c>
    </row>
    <row r="143" spans="1:14" ht="17.25" x14ac:dyDescent="0.35">
      <c r="B143" s="308" t="s">
        <v>40</v>
      </c>
      <c r="C143" s="311">
        <v>449282.63125417847</v>
      </c>
      <c r="D143" s="312"/>
      <c r="J143" s="258" t="s">
        <v>58</v>
      </c>
      <c r="K143" s="289">
        <v>20171059.492805988</v>
      </c>
      <c r="L143" s="120"/>
      <c r="M143" s="272">
        <v>0</v>
      </c>
      <c r="N143" s="297">
        <f>K143*M143/1000</f>
        <v>0</v>
      </c>
    </row>
    <row r="144" spans="1:14" ht="15.75" x14ac:dyDescent="0.25">
      <c r="B144" s="308" t="s">
        <v>26</v>
      </c>
      <c r="C144" s="304">
        <f>SUM(C142:C143)</f>
        <v>714257.1655464794</v>
      </c>
      <c r="D144" s="301"/>
      <c r="J144" s="258" t="s">
        <v>55</v>
      </c>
      <c r="K144" s="289"/>
      <c r="L144" s="120"/>
      <c r="M144" s="120"/>
      <c r="N144" s="232"/>
    </row>
    <row r="145" spans="1:14" ht="15.75" x14ac:dyDescent="0.25">
      <c r="B145" s="305"/>
      <c r="C145" s="306"/>
      <c r="D145" s="307"/>
      <c r="J145" s="258" t="s">
        <v>59</v>
      </c>
      <c r="K145" s="289">
        <v>767869452.35477459</v>
      </c>
      <c r="L145" s="120"/>
      <c r="M145" s="272">
        <v>6.8000000000000005E-4</v>
      </c>
      <c r="N145" s="297">
        <f>K145*M145/1000</f>
        <v>522.15122760124677</v>
      </c>
    </row>
    <row r="146" spans="1:14" ht="15.75" x14ac:dyDescent="0.25">
      <c r="B146" s="313" t="s">
        <v>37</v>
      </c>
      <c r="C146" s="314">
        <f>C140/C144</f>
        <v>2.2034140149280854</v>
      </c>
      <c r="D146" s="315"/>
      <c r="E146" s="316"/>
      <c r="J146" s="258" t="s">
        <v>56</v>
      </c>
      <c r="K146" s="289">
        <v>123811724.02666475</v>
      </c>
      <c r="L146" s="120"/>
      <c r="M146" s="272">
        <v>6.8000000000000005E-4</v>
      </c>
      <c r="N146" s="297">
        <f>K146*M146/1000</f>
        <v>84.191972338132032</v>
      </c>
    </row>
    <row r="147" spans="1:14" ht="15.75" x14ac:dyDescent="0.25">
      <c r="J147" s="258" t="s">
        <v>60</v>
      </c>
      <c r="K147" s="289">
        <v>24150570.127591219</v>
      </c>
      <c r="L147" s="120"/>
      <c r="M147" s="272">
        <v>0</v>
      </c>
      <c r="N147" s="297">
        <f>K147*M147/1000</f>
        <v>0</v>
      </c>
    </row>
    <row r="148" spans="1:14" ht="15.75" x14ac:dyDescent="0.25">
      <c r="A148" s="317" t="s">
        <v>29</v>
      </c>
      <c r="J148" s="258" t="s">
        <v>57</v>
      </c>
      <c r="K148" s="289">
        <v>108641825.4496676</v>
      </c>
      <c r="L148" s="120"/>
      <c r="M148" s="272">
        <v>0</v>
      </c>
      <c r="N148" s="297">
        <f>K148*M148/1000</f>
        <v>0</v>
      </c>
    </row>
    <row r="149" spans="1:14" ht="15.75" x14ac:dyDescent="0.25">
      <c r="B149" s="318" t="s">
        <v>217</v>
      </c>
      <c r="J149" s="258" t="s">
        <v>58</v>
      </c>
      <c r="K149" s="289">
        <v>18828665.936310064</v>
      </c>
      <c r="L149" s="120"/>
      <c r="M149" s="272">
        <v>0</v>
      </c>
      <c r="N149" s="297">
        <f>K149*M149/1000</f>
        <v>0</v>
      </c>
    </row>
    <row r="150" spans="1:14" ht="15.75" x14ac:dyDescent="0.25">
      <c r="B150" s="318" t="s">
        <v>218</v>
      </c>
      <c r="J150" s="258" t="s">
        <v>219</v>
      </c>
      <c r="K150" s="289"/>
      <c r="L150" s="120"/>
      <c r="M150" s="120"/>
      <c r="N150" s="232"/>
    </row>
    <row r="151" spans="1:14" ht="15.75" x14ac:dyDescent="0.25">
      <c r="B151" s="318" t="s">
        <v>220</v>
      </c>
      <c r="J151" s="258" t="s">
        <v>59</v>
      </c>
      <c r="K151" s="289">
        <v>1490870039.51617</v>
      </c>
      <c r="L151" s="120"/>
      <c r="M151" s="272">
        <v>6.8000000000000005E-4</v>
      </c>
      <c r="N151" s="297">
        <f>K151*M151/1000</f>
        <v>1013.7916268709957</v>
      </c>
    </row>
    <row r="152" spans="1:14" ht="15.75" x14ac:dyDescent="0.25">
      <c r="B152" s="318" t="s">
        <v>221</v>
      </c>
      <c r="J152" s="258" t="s">
        <v>56</v>
      </c>
      <c r="K152" s="289">
        <v>241441327.5431428</v>
      </c>
      <c r="L152" s="120"/>
      <c r="M152" s="272">
        <v>6.8000000000000005E-4</v>
      </c>
      <c r="N152" s="297">
        <f>K152*M152/1000</f>
        <v>164.18010272933711</v>
      </c>
    </row>
    <row r="153" spans="1:14" ht="15.75" x14ac:dyDescent="0.25">
      <c r="B153" s="318" t="s">
        <v>222</v>
      </c>
      <c r="J153" s="258" t="s">
        <v>60</v>
      </c>
      <c r="K153" s="289">
        <v>46004941.894685648</v>
      </c>
      <c r="L153" s="120"/>
      <c r="M153" s="272">
        <v>0</v>
      </c>
      <c r="N153" s="297">
        <f>K153*M153/1000</f>
        <v>0</v>
      </c>
    </row>
    <row r="154" spans="1:14" ht="15.75" x14ac:dyDescent="0.25">
      <c r="B154" s="318" t="s">
        <v>223</v>
      </c>
      <c r="J154" s="258" t="s">
        <v>57</v>
      </c>
      <c r="K154" s="289">
        <v>211404737.30778101</v>
      </c>
      <c r="L154" s="120"/>
      <c r="M154" s="272">
        <v>0</v>
      </c>
      <c r="N154" s="297">
        <f>K154*M154/1000</f>
        <v>0</v>
      </c>
    </row>
    <row r="155" spans="1:14" ht="15.75" x14ac:dyDescent="0.25">
      <c r="B155" s="119" t="s">
        <v>224</v>
      </c>
      <c r="J155" s="258" t="s">
        <v>58</v>
      </c>
      <c r="K155" s="289">
        <v>36531710.088191666</v>
      </c>
      <c r="L155" s="120"/>
      <c r="M155" s="272">
        <v>0</v>
      </c>
      <c r="N155" s="297">
        <f>K155*M155/1000</f>
        <v>0</v>
      </c>
    </row>
    <row r="156" spans="1:14" ht="15.75" x14ac:dyDescent="0.25">
      <c r="B156" s="318" t="s">
        <v>225</v>
      </c>
      <c r="J156" s="258" t="s">
        <v>226</v>
      </c>
      <c r="K156" s="289"/>
      <c r="L156" s="120"/>
      <c r="M156" s="120"/>
      <c r="N156" s="232"/>
    </row>
    <row r="157" spans="1:14" ht="15.75" x14ac:dyDescent="0.25">
      <c r="B157" s="20"/>
      <c r="C157" s="120"/>
      <c r="D157" s="120"/>
      <c r="E157" s="120"/>
      <c r="F157" s="120"/>
      <c r="J157" s="258" t="s">
        <v>59</v>
      </c>
      <c r="K157" s="289">
        <v>1135584765.1832557</v>
      </c>
      <c r="L157" s="120"/>
      <c r="M157" s="272">
        <v>6.8000000000000005E-4</v>
      </c>
      <c r="N157" s="297">
        <f>K157*M157/1000</f>
        <v>772.19764032461387</v>
      </c>
    </row>
    <row r="158" spans="1:14" ht="15.75" x14ac:dyDescent="0.25">
      <c r="B158" s="20"/>
      <c r="C158" s="120"/>
      <c r="D158" s="120"/>
      <c r="E158" s="120"/>
      <c r="F158" s="120"/>
      <c r="J158" s="258" t="s">
        <v>56</v>
      </c>
      <c r="K158" s="289">
        <v>194598646.79448542</v>
      </c>
      <c r="L158" s="120"/>
      <c r="M158" s="272">
        <v>6.8000000000000005E-4</v>
      </c>
      <c r="N158" s="297">
        <f>K158*M158/1000</f>
        <v>132.32707982025011</v>
      </c>
    </row>
    <row r="159" spans="1:14" ht="15.75" x14ac:dyDescent="0.25">
      <c r="J159" s="258" t="s">
        <v>60</v>
      </c>
      <c r="K159" s="289">
        <v>40326256.721025079</v>
      </c>
      <c r="L159" s="120"/>
      <c r="M159" s="272">
        <v>0</v>
      </c>
      <c r="N159" s="297">
        <f>K159*M159/1000</f>
        <v>0</v>
      </c>
    </row>
    <row r="160" spans="1:14" ht="15.75" x14ac:dyDescent="0.25">
      <c r="J160" s="258" t="s">
        <v>57</v>
      </c>
      <c r="K160" s="289">
        <v>180109955.43077078</v>
      </c>
      <c r="L160" s="120"/>
      <c r="M160" s="272">
        <v>0</v>
      </c>
      <c r="N160" s="297">
        <f>K160*M160/1000</f>
        <v>0</v>
      </c>
    </row>
    <row r="161" spans="10:14" ht="15.75" x14ac:dyDescent="0.25">
      <c r="J161" s="258" t="s">
        <v>58</v>
      </c>
      <c r="K161" s="289">
        <v>26733022.625482939</v>
      </c>
      <c r="L161" s="120"/>
      <c r="M161" s="272">
        <v>0</v>
      </c>
      <c r="N161" s="297">
        <f>K161*M161/1000</f>
        <v>0</v>
      </c>
    </row>
    <row r="162" spans="10:14" ht="15.75" x14ac:dyDescent="0.25">
      <c r="J162" s="258" t="s">
        <v>2</v>
      </c>
      <c r="K162" s="6"/>
      <c r="L162" s="120"/>
      <c r="M162" s="120"/>
      <c r="N162" s="232"/>
    </row>
    <row r="163" spans="10:14" ht="15.75" x14ac:dyDescent="0.25">
      <c r="J163" s="258"/>
      <c r="K163" s="6"/>
      <c r="L163" s="120"/>
      <c r="M163" s="120"/>
      <c r="N163" s="232"/>
    </row>
    <row r="164" spans="10:14" ht="15.75" x14ac:dyDescent="0.25">
      <c r="J164" s="258" t="s">
        <v>93</v>
      </c>
      <c r="K164" s="6"/>
      <c r="L164" s="120"/>
      <c r="M164" s="120"/>
      <c r="N164" s="232"/>
    </row>
    <row r="165" spans="10:14" ht="15.75" x14ac:dyDescent="0.25">
      <c r="J165" s="258" t="s">
        <v>54</v>
      </c>
      <c r="K165" s="6"/>
      <c r="L165" s="120"/>
      <c r="M165" s="120"/>
      <c r="N165" s="232"/>
    </row>
    <row r="166" spans="10:14" ht="15.75" x14ac:dyDescent="0.25">
      <c r="J166" s="258" t="s">
        <v>59</v>
      </c>
      <c r="K166" s="289">
        <v>642297250.24438119</v>
      </c>
      <c r="L166" s="120"/>
      <c r="M166" s="319">
        <v>-1.719E-2</v>
      </c>
      <c r="N166" s="297">
        <f>K166*M166/1000</f>
        <v>-11041.089731700911</v>
      </c>
    </row>
    <row r="167" spans="10:14" ht="15.75" x14ac:dyDescent="0.25">
      <c r="J167" s="258" t="s">
        <v>56</v>
      </c>
      <c r="K167" s="289">
        <v>104009380.91185859</v>
      </c>
      <c r="L167" s="120"/>
      <c r="M167" s="319">
        <v>-1.719E-2</v>
      </c>
      <c r="N167" s="297">
        <f>K167*M167/1000</f>
        <v>-1787.9212578748493</v>
      </c>
    </row>
    <row r="168" spans="10:14" ht="15.75" x14ac:dyDescent="0.25">
      <c r="J168" s="258" t="s">
        <v>60</v>
      </c>
      <c r="K168" s="289">
        <v>20761933.096102741</v>
      </c>
      <c r="L168" s="120"/>
      <c r="M168" s="319">
        <v>-1.719E-2</v>
      </c>
      <c r="N168" s="297">
        <f>K168*M168/1000</f>
        <v>-356.8976299220061</v>
      </c>
    </row>
    <row r="169" spans="10:14" ht="15.75" x14ac:dyDescent="0.25">
      <c r="J169" s="258" t="s">
        <v>57</v>
      </c>
      <c r="K169" s="289">
        <v>91738780.985129997</v>
      </c>
      <c r="L169" s="120"/>
      <c r="M169" s="319">
        <v>-1.719E-2</v>
      </c>
      <c r="N169" s="297">
        <f>K169*M169/1000</f>
        <v>-1576.9896451343848</v>
      </c>
    </row>
    <row r="170" spans="10:14" ht="15.75" x14ac:dyDescent="0.25">
      <c r="J170" s="258" t="s">
        <v>58</v>
      </c>
      <c r="K170" s="289">
        <v>15490058.344441393</v>
      </c>
      <c r="L170" s="120"/>
      <c r="M170" s="319">
        <v>-1.719E-2</v>
      </c>
      <c r="N170" s="297">
        <f>K170*M170/1000</f>
        <v>-266.27410294094756</v>
      </c>
    </row>
    <row r="171" spans="10:14" ht="15.75" x14ac:dyDescent="0.25">
      <c r="J171" s="258" t="s">
        <v>214</v>
      </c>
      <c r="K171" s="289"/>
      <c r="L171" s="120"/>
      <c r="M171" s="120"/>
      <c r="N171" s="232"/>
    </row>
    <row r="172" spans="10:14" ht="15.75" x14ac:dyDescent="0.25">
      <c r="J172" s="258" t="s">
        <v>59</v>
      </c>
      <c r="K172" s="289">
        <v>1394638167.6784539</v>
      </c>
      <c r="L172" s="120"/>
      <c r="M172" s="319">
        <v>-1.719E-2</v>
      </c>
      <c r="N172" s="297">
        <f>K172*M172/1000</f>
        <v>-23973.830102392625</v>
      </c>
    </row>
    <row r="173" spans="10:14" ht="15.75" x14ac:dyDescent="0.25">
      <c r="J173" s="258" t="s">
        <v>56</v>
      </c>
      <c r="K173" s="289">
        <v>226068235.79433122</v>
      </c>
      <c r="L173" s="120"/>
      <c r="M173" s="319">
        <v>-1.719E-2</v>
      </c>
      <c r="N173" s="297">
        <f>K173*M173/1000</f>
        <v>-3886.1129733045541</v>
      </c>
    </row>
    <row r="174" spans="10:14" ht="15.75" x14ac:dyDescent="0.25">
      <c r="J174" s="258" t="s">
        <v>60</v>
      </c>
      <c r="K174" s="289">
        <v>42991554.383431114</v>
      </c>
      <c r="L174" s="120"/>
      <c r="M174" s="319">
        <v>-1.719E-2</v>
      </c>
      <c r="N174" s="297">
        <f>K174*M174/1000</f>
        <v>-739.02481985118084</v>
      </c>
    </row>
    <row r="175" spans="10:14" ht="15.75" x14ac:dyDescent="0.25">
      <c r="J175" s="258" t="s">
        <v>57</v>
      </c>
      <c r="K175" s="289">
        <v>194590151.83149725</v>
      </c>
      <c r="L175" s="120"/>
      <c r="M175" s="319">
        <v>-1.719E-2</v>
      </c>
      <c r="N175" s="297">
        <f>K175*M175/1000</f>
        <v>-3345.0047099834378</v>
      </c>
    </row>
    <row r="176" spans="10:14" ht="15.75" x14ac:dyDescent="0.25">
      <c r="J176" s="258" t="s">
        <v>58</v>
      </c>
      <c r="K176" s="289">
        <v>33334717.707748603</v>
      </c>
      <c r="L176" s="120"/>
      <c r="M176" s="319">
        <v>-1.719E-2</v>
      </c>
      <c r="N176" s="297">
        <f>K176*M176/1000</f>
        <v>-573.02379739619846</v>
      </c>
    </row>
    <row r="177" spans="10:14" ht="15.75" x14ac:dyDescent="0.25">
      <c r="J177" s="258" t="s">
        <v>216</v>
      </c>
      <c r="K177" s="289"/>
      <c r="L177" s="120"/>
      <c r="M177" s="120"/>
      <c r="N177" s="232"/>
    </row>
    <row r="178" spans="10:14" ht="15.75" x14ac:dyDescent="0.25">
      <c r="J178" s="258" t="s">
        <v>59</v>
      </c>
      <c r="K178" s="289">
        <v>782206250.77901721</v>
      </c>
      <c r="L178" s="120"/>
      <c r="M178" s="319">
        <v>-1.719E-2</v>
      </c>
      <c r="N178" s="297">
        <f>K178*M178/1000</f>
        <v>-13446.125450891306</v>
      </c>
    </row>
    <row r="179" spans="10:14" ht="15.75" x14ac:dyDescent="0.25">
      <c r="J179" s="258" t="s">
        <v>56</v>
      </c>
      <c r="K179" s="289">
        <v>139858778.71060109</v>
      </c>
      <c r="L179" s="120"/>
      <c r="M179" s="319">
        <v>-1.719E-2</v>
      </c>
      <c r="N179" s="297">
        <f>K179*M179/1000</f>
        <v>-2404.1724060352326</v>
      </c>
    </row>
    <row r="180" spans="10:14" ht="15.75" x14ac:dyDescent="0.25">
      <c r="J180" s="258" t="s">
        <v>60</v>
      </c>
      <c r="K180" s="289">
        <v>29143674.412383914</v>
      </c>
      <c r="L180" s="120"/>
      <c r="M180" s="319">
        <v>-1.719E-2</v>
      </c>
      <c r="N180" s="297">
        <f>K180*M180/1000</f>
        <v>-500.9797631488795</v>
      </c>
    </row>
    <row r="181" spans="10:14" ht="15.75" x14ac:dyDescent="0.25">
      <c r="J181" s="258" t="s">
        <v>57</v>
      </c>
      <c r="K181" s="289">
        <v>134221186.62781554</v>
      </c>
      <c r="L181" s="120"/>
      <c r="M181" s="319">
        <v>-1.719E-2</v>
      </c>
      <c r="N181" s="297">
        <f>K181*M181/1000</f>
        <v>-2307.2621981321495</v>
      </c>
    </row>
    <row r="182" spans="10:14" ht="15.75" x14ac:dyDescent="0.25">
      <c r="J182" s="258" t="s">
        <v>58</v>
      </c>
      <c r="K182" s="289">
        <v>20171059.492805988</v>
      </c>
      <c r="L182" s="120"/>
      <c r="M182" s="319">
        <v>-1.719E-2</v>
      </c>
      <c r="N182" s="297">
        <f>K182*M182/1000</f>
        <v>-346.74051268133491</v>
      </c>
    </row>
    <row r="183" spans="10:14" ht="15.75" x14ac:dyDescent="0.25">
      <c r="J183" s="258" t="s">
        <v>55</v>
      </c>
      <c r="K183" s="289"/>
      <c r="L183" s="120"/>
      <c r="M183" s="120"/>
      <c r="N183" s="232"/>
    </row>
    <row r="184" spans="10:14" ht="15.75" x14ac:dyDescent="0.25">
      <c r="J184" s="258" t="s">
        <v>59</v>
      </c>
      <c r="K184" s="289">
        <v>767869452.35477459</v>
      </c>
      <c r="L184" s="120"/>
      <c r="M184" s="319">
        <v>-1.719E-2</v>
      </c>
      <c r="N184" s="297">
        <f>K184*M184/1000</f>
        <v>-13199.675885978575</v>
      </c>
    </row>
    <row r="185" spans="10:14" ht="15.75" x14ac:dyDescent="0.25">
      <c r="J185" s="258" t="s">
        <v>56</v>
      </c>
      <c r="K185" s="289">
        <v>123811724.02666475</v>
      </c>
      <c r="L185" s="120"/>
      <c r="M185" s="319">
        <v>-1.719E-2</v>
      </c>
      <c r="N185" s="297">
        <f>K185*M185/1000</f>
        <v>-2128.3235360183671</v>
      </c>
    </row>
    <row r="186" spans="10:14" ht="15.75" x14ac:dyDescent="0.25">
      <c r="J186" s="258" t="s">
        <v>60</v>
      </c>
      <c r="K186" s="289">
        <v>24150570.127591219</v>
      </c>
      <c r="L186" s="120"/>
      <c r="M186" s="319">
        <v>-1.719E-2</v>
      </c>
      <c r="N186" s="297">
        <f>K186*M186/1000</f>
        <v>-415.14830049329305</v>
      </c>
    </row>
    <row r="187" spans="10:14" ht="15.75" x14ac:dyDescent="0.25">
      <c r="J187" s="258" t="s">
        <v>57</v>
      </c>
      <c r="K187" s="289">
        <v>108641825.4496676</v>
      </c>
      <c r="L187" s="120"/>
      <c r="M187" s="319">
        <v>-1.719E-2</v>
      </c>
      <c r="N187" s="297">
        <f>K187*M187/1000</f>
        <v>-1867.5529794797862</v>
      </c>
    </row>
    <row r="188" spans="10:14" ht="15.75" x14ac:dyDescent="0.25">
      <c r="J188" s="258" t="s">
        <v>58</v>
      </c>
      <c r="K188" s="289">
        <v>18828665.936310064</v>
      </c>
      <c r="L188" s="120"/>
      <c r="M188" s="319">
        <v>-1.719E-2</v>
      </c>
      <c r="N188" s="297">
        <f>K188*M188/1000</f>
        <v>-323.66476744517001</v>
      </c>
    </row>
    <row r="189" spans="10:14" ht="15.75" x14ac:dyDescent="0.25">
      <c r="J189" s="258" t="s">
        <v>227</v>
      </c>
      <c r="K189" s="289"/>
      <c r="L189" s="120"/>
      <c r="M189" s="120"/>
      <c r="N189" s="232"/>
    </row>
    <row r="190" spans="10:14" ht="15.75" x14ac:dyDescent="0.25">
      <c r="J190" s="258" t="s">
        <v>59</v>
      </c>
      <c r="K190" s="289">
        <v>1490870039.51617</v>
      </c>
      <c r="L190" s="120"/>
      <c r="M190" s="319">
        <v>-1.719E-2</v>
      </c>
      <c r="N190" s="297">
        <f>K190*M190/1000</f>
        <v>-25628.055979282963</v>
      </c>
    </row>
    <row r="191" spans="10:14" ht="15.75" x14ac:dyDescent="0.25">
      <c r="J191" s="258" t="s">
        <v>56</v>
      </c>
      <c r="K191" s="289">
        <v>241441327.5431428</v>
      </c>
      <c r="L191" s="120"/>
      <c r="M191" s="319">
        <v>-1.719E-2</v>
      </c>
      <c r="N191" s="297">
        <f>K191*M191/1000</f>
        <v>-4150.3764204666249</v>
      </c>
    </row>
    <row r="192" spans="10:14" ht="15.75" x14ac:dyDescent="0.25">
      <c r="J192" s="258" t="s">
        <v>60</v>
      </c>
      <c r="K192" s="289">
        <v>46004941.894685648</v>
      </c>
      <c r="L192" s="120"/>
      <c r="M192" s="319">
        <v>-1.719E-2</v>
      </c>
      <c r="N192" s="297">
        <f>K192*M192/1000</f>
        <v>-790.8249511696464</v>
      </c>
    </row>
    <row r="193" spans="10:14" ht="15.75" x14ac:dyDescent="0.25">
      <c r="J193" s="258" t="s">
        <v>57</v>
      </c>
      <c r="K193" s="289">
        <v>211404737.30778101</v>
      </c>
      <c r="L193" s="120"/>
      <c r="M193" s="319">
        <v>-1.719E-2</v>
      </c>
      <c r="N193" s="297">
        <f>K193*M193/1000</f>
        <v>-3634.0474343207557</v>
      </c>
    </row>
    <row r="194" spans="10:14" ht="15.75" x14ac:dyDescent="0.25">
      <c r="J194" s="258" t="s">
        <v>58</v>
      </c>
      <c r="K194" s="289">
        <v>36531710.088191666</v>
      </c>
      <c r="L194" s="120"/>
      <c r="M194" s="319">
        <v>-1.719E-2</v>
      </c>
      <c r="N194" s="297">
        <f>K194*M194/1000</f>
        <v>-627.9800964160147</v>
      </c>
    </row>
    <row r="195" spans="10:14" ht="15.75" x14ac:dyDescent="0.25">
      <c r="J195" s="258" t="s">
        <v>226</v>
      </c>
      <c r="K195" s="289"/>
      <c r="L195" s="120"/>
      <c r="M195" s="120"/>
      <c r="N195" s="232"/>
    </row>
    <row r="196" spans="10:14" ht="15.75" x14ac:dyDescent="0.25">
      <c r="J196" s="258" t="s">
        <v>59</v>
      </c>
      <c r="K196" s="289">
        <v>1135584765.1832557</v>
      </c>
      <c r="L196" s="120"/>
      <c r="M196" s="319">
        <v>-1.719E-2</v>
      </c>
      <c r="N196" s="297">
        <f>K196*M196/1000</f>
        <v>-19520.702113500167</v>
      </c>
    </row>
    <row r="197" spans="10:14" ht="15.75" x14ac:dyDescent="0.25">
      <c r="J197" s="258" t="s">
        <v>56</v>
      </c>
      <c r="K197" s="289">
        <v>194598646.79448542</v>
      </c>
      <c r="L197" s="120"/>
      <c r="M197" s="319">
        <v>-1.719E-2</v>
      </c>
      <c r="N197" s="297">
        <f>K197*M197/1000</f>
        <v>-3345.1507383972043</v>
      </c>
    </row>
    <row r="198" spans="10:14" ht="15.75" x14ac:dyDescent="0.25">
      <c r="J198" s="258" t="s">
        <v>60</v>
      </c>
      <c r="K198" s="289">
        <v>40326256.721025079</v>
      </c>
      <c r="L198" s="120"/>
      <c r="M198" s="319">
        <v>-1.719E-2</v>
      </c>
      <c r="N198" s="297">
        <f>K198*M198/1000</f>
        <v>-693.20835303442107</v>
      </c>
    </row>
    <row r="199" spans="10:14" ht="15.75" x14ac:dyDescent="0.25">
      <c r="J199" s="258" t="s">
        <v>57</v>
      </c>
      <c r="K199" s="289">
        <v>180109955.43077078</v>
      </c>
      <c r="L199" s="120"/>
      <c r="M199" s="319">
        <v>-1.719E-2</v>
      </c>
      <c r="N199" s="297">
        <f>K199*M199/1000</f>
        <v>-3096.0901338549497</v>
      </c>
    </row>
    <row r="200" spans="10:14" ht="15.75" x14ac:dyDescent="0.25">
      <c r="J200" s="258" t="s">
        <v>58</v>
      </c>
      <c r="K200" s="289">
        <v>26733022.625482939</v>
      </c>
      <c r="L200" s="120"/>
      <c r="M200" s="319">
        <v>-1.719E-2</v>
      </c>
      <c r="N200" s="297">
        <f>K200*M200/1000</f>
        <v>-459.54065893205171</v>
      </c>
    </row>
    <row r="201" spans="10:14" ht="15.75" x14ac:dyDescent="0.25">
      <c r="J201" s="258" t="s">
        <v>2</v>
      </c>
      <c r="K201" s="6"/>
      <c r="L201" s="120"/>
      <c r="M201" s="120"/>
      <c r="N201" s="232"/>
    </row>
    <row r="202" spans="10:14" ht="15.75" x14ac:dyDescent="0.25">
      <c r="J202" s="258"/>
      <c r="K202" s="6"/>
      <c r="L202" s="120"/>
      <c r="M202" s="120"/>
      <c r="N202" s="232"/>
    </row>
    <row r="203" spans="10:14" ht="15.75" x14ac:dyDescent="0.25">
      <c r="J203" s="258" t="s">
        <v>94</v>
      </c>
      <c r="K203" s="6"/>
      <c r="L203" s="120"/>
      <c r="M203" s="120"/>
      <c r="N203" s="232"/>
    </row>
    <row r="204" spans="10:14" ht="15.75" x14ac:dyDescent="0.25">
      <c r="J204" s="258" t="s">
        <v>54</v>
      </c>
      <c r="K204" s="6"/>
      <c r="L204" s="120"/>
      <c r="M204" s="120"/>
      <c r="N204" s="232"/>
    </row>
    <row r="205" spans="10:14" ht="15.75" x14ac:dyDescent="0.25">
      <c r="J205" s="258" t="s">
        <v>59</v>
      </c>
      <c r="K205" s="289">
        <v>642297250.24438119</v>
      </c>
      <c r="L205" s="120"/>
      <c r="M205" s="272">
        <f>0.01286+0.00006+0.00083+0.0088+0.00004</f>
        <v>2.2589999999999999E-2</v>
      </c>
      <c r="N205" s="297">
        <f>K205*M205/1000</f>
        <v>14509.49488302057</v>
      </c>
    </row>
    <row r="206" spans="10:14" ht="15.75" x14ac:dyDescent="0.25">
      <c r="J206" s="258" t="s">
        <v>56</v>
      </c>
      <c r="K206" s="289">
        <v>104009380.91185859</v>
      </c>
      <c r="L206" s="120"/>
      <c r="M206" s="272">
        <f>0.01286+0.00006+0.00083+0.0088+0.00004</f>
        <v>2.2589999999999999E-2</v>
      </c>
      <c r="N206" s="297">
        <f>K206*M206/1000</f>
        <v>2349.5719147988857</v>
      </c>
    </row>
    <row r="207" spans="10:14" ht="15.75" x14ac:dyDescent="0.25">
      <c r="J207" s="258" t="s">
        <v>60</v>
      </c>
      <c r="K207" s="289">
        <v>20761933.096102741</v>
      </c>
      <c r="L207" s="120"/>
      <c r="M207" s="272">
        <f>0.01286+0.00006+0+0.0088+0.00004</f>
        <v>2.1759999999999998E-2</v>
      </c>
      <c r="N207" s="297">
        <f>K207*M207/1000</f>
        <v>451.77966417119558</v>
      </c>
    </row>
    <row r="208" spans="10:14" ht="15.75" x14ac:dyDescent="0.25">
      <c r="J208" s="258" t="s">
        <v>57</v>
      </c>
      <c r="K208" s="289">
        <v>91738780.985129997</v>
      </c>
      <c r="L208" s="120"/>
      <c r="M208" s="272">
        <f>0.01286+0.00006+0+0.0088+0.00004</f>
        <v>2.1759999999999998E-2</v>
      </c>
      <c r="N208" s="297">
        <f>K208*M208/1000</f>
        <v>1996.2358742364286</v>
      </c>
    </row>
    <row r="209" spans="10:14" ht="15.75" x14ac:dyDescent="0.25">
      <c r="J209" s="258" t="s">
        <v>58</v>
      </c>
      <c r="K209" s="289">
        <v>15490058.344441393</v>
      </c>
      <c r="L209" s="120"/>
      <c r="M209" s="272">
        <f>0.01286+0.00006+0+0.0088+0.00004</f>
        <v>2.1759999999999998E-2</v>
      </c>
      <c r="N209" s="297">
        <f>K209*M209/1000</f>
        <v>337.06366957504468</v>
      </c>
    </row>
    <row r="210" spans="10:14" ht="15.75" x14ac:dyDescent="0.25">
      <c r="J210" s="258" t="s">
        <v>228</v>
      </c>
      <c r="K210" s="289"/>
      <c r="L210" s="120"/>
      <c r="M210" s="120"/>
      <c r="N210" s="232"/>
    </row>
    <row r="211" spans="10:14" ht="15.75" x14ac:dyDescent="0.25">
      <c r="J211" s="258" t="s">
        <v>59</v>
      </c>
      <c r="K211" s="289">
        <v>1394638167.6784539</v>
      </c>
      <c r="L211" s="120"/>
      <c r="M211" s="272">
        <f>0.01286+0.00006+0.00083+0.0088+0.00004</f>
        <v>2.2589999999999999E-2</v>
      </c>
      <c r="N211" s="297">
        <f>K211*M211/1000</f>
        <v>31504.876207856272</v>
      </c>
    </row>
    <row r="212" spans="10:14" ht="15.75" x14ac:dyDescent="0.25">
      <c r="J212" s="258" t="s">
        <v>56</v>
      </c>
      <c r="K212" s="289">
        <v>226068235.79433122</v>
      </c>
      <c r="L212" s="120"/>
      <c r="M212" s="272">
        <f>0.01286+0.00006+0.00083+0.0088+0.00004</f>
        <v>2.2589999999999999E-2</v>
      </c>
      <c r="N212" s="297">
        <f>K212*M212/1000</f>
        <v>5106.8814465939422</v>
      </c>
    </row>
    <row r="213" spans="10:14" ht="15.75" x14ac:dyDescent="0.25">
      <c r="J213" s="258" t="s">
        <v>60</v>
      </c>
      <c r="K213" s="289">
        <v>42991554.383431114</v>
      </c>
      <c r="L213" s="120"/>
      <c r="M213" s="272">
        <f>0.01286+0.00006+0+0.0088+0.00004</f>
        <v>2.1759999999999998E-2</v>
      </c>
      <c r="N213" s="297">
        <f>K213*M213/1000</f>
        <v>935.49622338346103</v>
      </c>
    </row>
    <row r="214" spans="10:14" ht="15.75" x14ac:dyDescent="0.25">
      <c r="J214" s="258" t="s">
        <v>57</v>
      </c>
      <c r="K214" s="289">
        <v>194590151.83149725</v>
      </c>
      <c r="L214" s="120"/>
      <c r="M214" s="272">
        <f>0.01286+0.00006+0+0.0088+0.00004</f>
        <v>2.1759999999999998E-2</v>
      </c>
      <c r="N214" s="297">
        <f>K214*M214/1000</f>
        <v>4234.2817038533803</v>
      </c>
    </row>
    <row r="215" spans="10:14" ht="15.75" x14ac:dyDescent="0.25">
      <c r="J215" s="258" t="s">
        <v>58</v>
      </c>
      <c r="K215" s="289">
        <v>33334717.707748603</v>
      </c>
      <c r="L215" s="120"/>
      <c r="M215" s="272">
        <f>0.01286+0.00006+0+0.0088+0.00004</f>
        <v>2.1759999999999998E-2</v>
      </c>
      <c r="N215" s="297">
        <f>K215*M215/1000</f>
        <v>725.36345732060954</v>
      </c>
    </row>
    <row r="216" spans="10:14" ht="15.75" x14ac:dyDescent="0.25">
      <c r="J216" s="258" t="s">
        <v>216</v>
      </c>
      <c r="K216" s="289"/>
      <c r="L216" s="120"/>
      <c r="M216" s="120"/>
      <c r="N216" s="232"/>
    </row>
    <row r="217" spans="10:14" ht="15.75" x14ac:dyDescent="0.25">
      <c r="J217" s="258" t="s">
        <v>59</v>
      </c>
      <c r="K217" s="289">
        <v>782206250.77901721</v>
      </c>
      <c r="L217" s="120"/>
      <c r="M217" s="272">
        <f>0.01286+0.00006+0.00083+0.0088+0.00004</f>
        <v>2.2589999999999999E-2</v>
      </c>
      <c r="N217" s="297">
        <f>K217*M217/1000</f>
        <v>17670.039205098001</v>
      </c>
    </row>
    <row r="218" spans="10:14" ht="15.75" x14ac:dyDescent="0.25">
      <c r="J218" s="258" t="s">
        <v>56</v>
      </c>
      <c r="K218" s="289">
        <v>139858778.71060109</v>
      </c>
      <c r="L218" s="120"/>
      <c r="M218" s="272">
        <f>0.01286+0.00006+0.00083+0.0088+0.00004</f>
        <v>2.2589999999999999E-2</v>
      </c>
      <c r="N218" s="297">
        <f>K218*M218/1000</f>
        <v>3159.4098110724785</v>
      </c>
    </row>
    <row r="219" spans="10:14" ht="15.75" x14ac:dyDescent="0.25">
      <c r="J219" s="258" t="s">
        <v>60</v>
      </c>
      <c r="K219" s="289">
        <v>29143674.412383914</v>
      </c>
      <c r="L219" s="120"/>
      <c r="M219" s="272">
        <f>0.01286+0.00006+0+0.0088+0.00004</f>
        <v>2.1759999999999998E-2</v>
      </c>
      <c r="N219" s="297">
        <f>K219*M219/1000</f>
        <v>634.16635521347393</v>
      </c>
    </row>
    <row r="220" spans="10:14" ht="15.75" x14ac:dyDescent="0.25">
      <c r="J220" s="258" t="s">
        <v>57</v>
      </c>
      <c r="K220" s="289">
        <v>134221186.62781554</v>
      </c>
      <c r="L220" s="120"/>
      <c r="M220" s="272">
        <f>0.01286+0.00006+0+0.0088+0.00004</f>
        <v>2.1759999999999998E-2</v>
      </c>
      <c r="N220" s="297">
        <f>K220*M220/1000</f>
        <v>2920.6530210212659</v>
      </c>
    </row>
    <row r="221" spans="10:14" ht="15.75" x14ac:dyDescent="0.25">
      <c r="J221" s="258" t="s">
        <v>58</v>
      </c>
      <c r="K221" s="289">
        <v>20171059.492805988</v>
      </c>
      <c r="L221" s="120"/>
      <c r="M221" s="272">
        <f>0.01286+0.00006+0+0.0088+0.00004</f>
        <v>2.1759999999999998E-2</v>
      </c>
      <c r="N221" s="297">
        <f>K221*M221/1000</f>
        <v>438.92225456345824</v>
      </c>
    </row>
    <row r="222" spans="10:14" ht="15.75" x14ac:dyDescent="0.25">
      <c r="J222" s="258" t="s">
        <v>55</v>
      </c>
      <c r="K222" s="289"/>
      <c r="L222" s="120"/>
      <c r="M222" s="120"/>
      <c r="N222" s="232"/>
    </row>
    <row r="223" spans="10:14" ht="15.75" x14ac:dyDescent="0.25">
      <c r="J223" s="258" t="s">
        <v>59</v>
      </c>
      <c r="K223" s="289">
        <v>767869452.35477459</v>
      </c>
      <c r="L223" s="120"/>
      <c r="M223" s="272">
        <f>0.01286+0.00006+0.00083+0.0088+0.00004</f>
        <v>2.2589999999999999E-2</v>
      </c>
      <c r="N223" s="297">
        <f>K223*M223/1000</f>
        <v>17346.170928694355</v>
      </c>
    </row>
    <row r="224" spans="10:14" ht="15.75" x14ac:dyDescent="0.25">
      <c r="J224" s="258" t="s">
        <v>56</v>
      </c>
      <c r="K224" s="289">
        <v>123811724.02666475</v>
      </c>
      <c r="L224" s="120"/>
      <c r="M224" s="272">
        <f>0.01286+0.00006+0.00083+0.0088+0.00004</f>
        <v>2.2589999999999999E-2</v>
      </c>
      <c r="N224" s="297">
        <f>K224*M224/1000</f>
        <v>2796.9068457623566</v>
      </c>
    </row>
    <row r="225" spans="10:14" ht="15.75" x14ac:dyDescent="0.25">
      <c r="J225" s="258" t="s">
        <v>60</v>
      </c>
      <c r="K225" s="289">
        <v>24150570.127591219</v>
      </c>
      <c r="L225" s="120"/>
      <c r="M225" s="272">
        <f>0.01286+0.00006+0+0.0088+0.00004</f>
        <v>2.1759999999999998E-2</v>
      </c>
      <c r="N225" s="297">
        <f>K225*M225/1000</f>
        <v>525.51640597638493</v>
      </c>
    </row>
    <row r="226" spans="10:14" ht="15.75" x14ac:dyDescent="0.25">
      <c r="J226" s="258" t="s">
        <v>57</v>
      </c>
      <c r="K226" s="289">
        <v>108641825.4496676</v>
      </c>
      <c r="L226" s="120"/>
      <c r="M226" s="272">
        <f>0.01286+0.00006+0+0.0088+0.00004</f>
        <v>2.1759999999999998E-2</v>
      </c>
      <c r="N226" s="297">
        <f>K226*M226/1000</f>
        <v>2364.0461217847665</v>
      </c>
    </row>
    <row r="227" spans="10:14" ht="15.75" x14ac:dyDescent="0.25">
      <c r="J227" s="258" t="s">
        <v>58</v>
      </c>
      <c r="K227" s="289">
        <v>18828665.936310064</v>
      </c>
      <c r="L227" s="120"/>
      <c r="M227" s="272">
        <f>0.01286+0.00006+0+0.0088+0.00004</f>
        <v>2.1759999999999998E-2</v>
      </c>
      <c r="N227" s="297">
        <f>K227*M227/1000</f>
        <v>409.71177077410698</v>
      </c>
    </row>
    <row r="228" spans="10:14" ht="15.75" x14ac:dyDescent="0.25">
      <c r="J228" s="258" t="s">
        <v>227</v>
      </c>
      <c r="K228" s="289"/>
      <c r="L228" s="120"/>
      <c r="M228" s="120"/>
      <c r="N228" s="232"/>
    </row>
    <row r="229" spans="10:14" ht="15.75" x14ac:dyDescent="0.25">
      <c r="J229" s="258" t="s">
        <v>59</v>
      </c>
      <c r="K229" s="289">
        <v>1490870039.51617</v>
      </c>
      <c r="L229" s="120"/>
      <c r="M229" s="272">
        <f>0.01286+0.00006+0.00083+0.0088+0.00004</f>
        <v>2.2589999999999999E-2</v>
      </c>
      <c r="N229" s="297">
        <f>K229*M229/1000</f>
        <v>33678.754192670276</v>
      </c>
    </row>
    <row r="230" spans="10:14" ht="15.75" x14ac:dyDescent="0.25">
      <c r="J230" s="258" t="s">
        <v>56</v>
      </c>
      <c r="K230" s="289">
        <v>241441327.5431428</v>
      </c>
      <c r="L230" s="120"/>
      <c r="M230" s="272">
        <f>0.01286+0.00006+0.00083+0.0088+0.00004</f>
        <v>2.2589999999999999E-2</v>
      </c>
      <c r="N230" s="297">
        <f>K230*M230/1000</f>
        <v>5454.1595891995948</v>
      </c>
    </row>
    <row r="231" spans="10:14" ht="15.75" x14ac:dyDescent="0.25">
      <c r="J231" s="258" t="s">
        <v>60</v>
      </c>
      <c r="K231" s="289">
        <v>46004941.894685648</v>
      </c>
      <c r="L231" s="120"/>
      <c r="M231" s="272">
        <f>0.01286+0.00006+0+0.0088+0.00004</f>
        <v>2.1759999999999998E-2</v>
      </c>
      <c r="N231" s="297">
        <f>K231*M231/1000</f>
        <v>1001.0675356283597</v>
      </c>
    </row>
    <row r="232" spans="10:14" ht="15.75" x14ac:dyDescent="0.25">
      <c r="J232" s="258" t="s">
        <v>57</v>
      </c>
      <c r="K232" s="289">
        <v>211404737.30778101</v>
      </c>
      <c r="L232" s="120"/>
      <c r="M232" s="272">
        <f>0.01286+0.00006+0+0.0088+0.00004</f>
        <v>2.1759999999999998E-2</v>
      </c>
      <c r="N232" s="297">
        <f>K232*M232/1000</f>
        <v>4600.1670838173141</v>
      </c>
    </row>
    <row r="233" spans="10:14" ht="15.75" x14ac:dyDescent="0.25">
      <c r="J233" s="258" t="s">
        <v>58</v>
      </c>
      <c r="K233" s="289">
        <v>36531710.088191666</v>
      </c>
      <c r="L233" s="120"/>
      <c r="M233" s="272">
        <f>0.01286+0.00006+0+0.0088+0.00004</f>
        <v>2.1759999999999998E-2</v>
      </c>
      <c r="N233" s="297">
        <f>K233*M233/1000</f>
        <v>794.93001151905059</v>
      </c>
    </row>
    <row r="234" spans="10:14" ht="15.75" x14ac:dyDescent="0.25">
      <c r="J234" s="258" t="s">
        <v>226</v>
      </c>
      <c r="K234" s="289"/>
      <c r="L234" s="120"/>
      <c r="M234" s="120"/>
      <c r="N234" s="232"/>
    </row>
    <row r="235" spans="10:14" ht="15.75" x14ac:dyDescent="0.25">
      <c r="J235" s="258" t="s">
        <v>59</v>
      </c>
      <c r="K235" s="289">
        <v>1135584765.1832557</v>
      </c>
      <c r="L235" s="120"/>
      <c r="M235" s="272">
        <f>0.01286+0.00006+0.00083+0.0088+0.00004</f>
        <v>2.2589999999999999E-2</v>
      </c>
      <c r="N235" s="297">
        <f>K235*M235/1000</f>
        <v>25652.859845489744</v>
      </c>
    </row>
    <row r="236" spans="10:14" ht="15.75" x14ac:dyDescent="0.25">
      <c r="J236" s="258" t="s">
        <v>56</v>
      </c>
      <c r="K236" s="289">
        <v>194598646.79448542</v>
      </c>
      <c r="L236" s="120"/>
      <c r="M236" s="272">
        <f>0.01286+0.00006+0.00083+0.0088+0.00004</f>
        <v>2.2589999999999999E-2</v>
      </c>
      <c r="N236" s="297">
        <f>K236*M236/1000</f>
        <v>4395.9834310874248</v>
      </c>
    </row>
    <row r="237" spans="10:14" ht="15.75" x14ac:dyDescent="0.25">
      <c r="J237" s="258" t="s">
        <v>60</v>
      </c>
      <c r="K237" s="289">
        <v>40326256.721025079</v>
      </c>
      <c r="L237" s="120"/>
      <c r="M237" s="272">
        <f>0.01286+0.00006+0+0.0088+0.00004</f>
        <v>2.1759999999999998E-2</v>
      </c>
      <c r="N237" s="297">
        <f>K237*M237/1000</f>
        <v>877.49934624950561</v>
      </c>
    </row>
    <row r="238" spans="10:14" ht="15.75" x14ac:dyDescent="0.25">
      <c r="J238" s="258" t="s">
        <v>57</v>
      </c>
      <c r="K238" s="289">
        <v>180109955.43077078</v>
      </c>
      <c r="L238" s="120"/>
      <c r="M238" s="272">
        <f>0.01286+0.00006+0+0.0088+0.00004</f>
        <v>2.1759999999999998E-2</v>
      </c>
      <c r="N238" s="297">
        <f>K238*M238/1000</f>
        <v>3919.1926301735721</v>
      </c>
    </row>
    <row r="239" spans="10:14" ht="15.75" x14ac:dyDescent="0.25">
      <c r="J239" s="258" t="s">
        <v>58</v>
      </c>
      <c r="K239" s="289">
        <v>26733022.625482939</v>
      </c>
      <c r="L239" s="120"/>
      <c r="M239" s="272">
        <f>0.01286+0.00006+0+0.0088+0.00004</f>
        <v>2.1759999999999998E-2</v>
      </c>
      <c r="N239" s="297">
        <f>K239*M239/1000</f>
        <v>581.71057233050874</v>
      </c>
    </row>
    <row r="240" spans="10:14" ht="15.75" x14ac:dyDescent="0.25">
      <c r="J240" s="258" t="s">
        <v>2</v>
      </c>
      <c r="K240" s="6"/>
      <c r="L240" s="120"/>
      <c r="M240" s="120"/>
      <c r="N240" s="232"/>
    </row>
    <row r="241" spans="10:14" ht="15.75" x14ac:dyDescent="0.25">
      <c r="J241" s="258"/>
      <c r="K241" s="320"/>
      <c r="L241" s="283"/>
      <c r="M241" s="276"/>
      <c r="N241" s="259"/>
    </row>
    <row r="242" spans="10:14" ht="15" x14ac:dyDescent="0.2">
      <c r="J242" s="321"/>
      <c r="K242" s="283"/>
      <c r="L242" s="283"/>
      <c r="M242" s="283"/>
      <c r="N242" s="322"/>
    </row>
    <row r="243" spans="10:14" ht="15.75" x14ac:dyDescent="0.25">
      <c r="J243" s="257" t="s">
        <v>230</v>
      </c>
      <c r="K243" s="120"/>
      <c r="L243" s="120"/>
      <c r="M243" s="120"/>
      <c r="N243" s="232"/>
    </row>
    <row r="244" spans="10:14" ht="15.75" x14ac:dyDescent="0.25">
      <c r="J244" s="258" t="s">
        <v>184</v>
      </c>
      <c r="K244" s="120"/>
      <c r="L244" s="120"/>
      <c r="M244" s="120"/>
      <c r="N244" s="232"/>
    </row>
    <row r="245" spans="10:14" ht="15.75" x14ac:dyDescent="0.25">
      <c r="J245" s="258" t="s">
        <v>21</v>
      </c>
      <c r="K245" s="243"/>
      <c r="L245" s="243"/>
      <c r="M245" s="6"/>
      <c r="N245" s="259"/>
    </row>
    <row r="246" spans="10:14" ht="15.75" x14ac:dyDescent="0.25">
      <c r="J246" s="258" t="s">
        <v>41</v>
      </c>
      <c r="K246" s="6">
        <v>27178.558690094127</v>
      </c>
      <c r="L246" s="262">
        <v>150.46890668368505</v>
      </c>
      <c r="M246" s="16">
        <f>L246*$C$146</f>
        <v>331.54529779773787</v>
      </c>
      <c r="N246" s="259">
        <f>M246*K246/1000</f>
        <v>9010.9233346205547</v>
      </c>
    </row>
    <row r="247" spans="10:14" ht="15.75" x14ac:dyDescent="0.25">
      <c r="J247" s="258" t="s">
        <v>30</v>
      </c>
      <c r="K247" s="6">
        <v>1817.8100625385237</v>
      </c>
      <c r="L247" s="262">
        <v>362.65181089057631</v>
      </c>
      <c r="M247" s="16">
        <f>L247*$C$146</f>
        <v>799.07208265534553</v>
      </c>
      <c r="N247" s="259">
        <f>M247*K247/1000</f>
        <v>1452.5612725445021</v>
      </c>
    </row>
    <row r="248" spans="10:14" ht="15.75" x14ac:dyDescent="0.25">
      <c r="J248" s="258" t="s">
        <v>31</v>
      </c>
      <c r="K248" s="18"/>
      <c r="L248" s="264"/>
      <c r="M248" s="265"/>
      <c r="N248" s="267"/>
    </row>
    <row r="249" spans="10:14" ht="15.75" x14ac:dyDescent="0.25">
      <c r="J249" s="258" t="s">
        <v>42</v>
      </c>
      <c r="K249" s="6">
        <f>SUM(K246:K248)</f>
        <v>28996.36875263265</v>
      </c>
      <c r="L249" s="112">
        <f>(L246*K246+L247*K247)/K249</f>
        <v>163.77085568483076</v>
      </c>
      <c r="M249" s="16">
        <f>L249*$C$146</f>
        <v>360.85499865272101</v>
      </c>
      <c r="N249" s="259">
        <f>M249*K249/1000</f>
        <v>10463.484607165057</v>
      </c>
    </row>
    <row r="250" spans="10:14" ht="15.75" x14ac:dyDescent="0.25">
      <c r="J250" s="258"/>
      <c r="K250" s="6"/>
      <c r="L250" s="112"/>
      <c r="M250" s="16"/>
      <c r="N250" s="259"/>
    </row>
    <row r="251" spans="10:14" ht="15.75" x14ac:dyDescent="0.25">
      <c r="J251" s="258" t="s">
        <v>22</v>
      </c>
      <c r="K251" s="6"/>
      <c r="L251" s="112"/>
      <c r="M251" s="16"/>
      <c r="N251" s="259"/>
    </row>
    <row r="252" spans="10:14" ht="15.75" x14ac:dyDescent="0.25">
      <c r="J252" s="258" t="s">
        <v>41</v>
      </c>
      <c r="K252" s="6">
        <v>664.88165753071075</v>
      </c>
      <c r="L252" s="112">
        <v>74.682822941129302</v>
      </c>
      <c r="M252" s="16">
        <f>L252*$C$146</f>
        <v>164.55717874287703</v>
      </c>
      <c r="N252" s="259">
        <f>M252*K252/1000</f>
        <v>109.41104976114151</v>
      </c>
    </row>
    <row r="253" spans="10:14" ht="15.75" x14ac:dyDescent="0.25">
      <c r="J253" s="258" t="s">
        <v>30</v>
      </c>
      <c r="K253" s="6">
        <v>1175.8860452277663</v>
      </c>
      <c r="L253" s="112">
        <v>82.684139466962677</v>
      </c>
      <c r="M253" s="16">
        <f>L253*$C$146</f>
        <v>182.18739171377399</v>
      </c>
      <c r="N253" s="259">
        <f>M253*K253/1000</f>
        <v>214.23161153267162</v>
      </c>
    </row>
    <row r="254" spans="10:14" ht="15.75" x14ac:dyDescent="0.25">
      <c r="J254" s="258" t="s">
        <v>31</v>
      </c>
      <c r="K254" s="18">
        <v>30.581545026623722</v>
      </c>
      <c r="L254" s="113">
        <v>105.89139958657309</v>
      </c>
      <c r="M254" s="17">
        <f>L254*$C$146</f>
        <v>233.32259390940521</v>
      </c>
      <c r="N254" s="267">
        <f>M254*K254/1000</f>
        <v>7.1353654113691176</v>
      </c>
    </row>
    <row r="255" spans="10:14" ht="15.75" x14ac:dyDescent="0.25">
      <c r="J255" s="258" t="s">
        <v>43</v>
      </c>
      <c r="K255" s="6">
        <f>SUM(K252:K254)</f>
        <v>1871.3492477851007</v>
      </c>
      <c r="L255" s="112">
        <f>(L252*K252+L253*K253+K254*L254)/K255</f>
        <v>80.220561527522392</v>
      </c>
      <c r="M255" s="16">
        <f>L255*$C$146</f>
        <v>176.75910955514362</v>
      </c>
      <c r="N255" s="259">
        <f>M255*K255/1000</f>
        <v>330.77802670518224</v>
      </c>
    </row>
    <row r="256" spans="10:14" ht="15.75" x14ac:dyDescent="0.25">
      <c r="J256" s="258"/>
      <c r="K256" s="6"/>
      <c r="L256" s="112"/>
      <c r="M256" s="16"/>
      <c r="N256" s="259"/>
    </row>
    <row r="257" spans="10:14" ht="15.75" x14ac:dyDescent="0.25">
      <c r="J257" s="258" t="s">
        <v>24</v>
      </c>
      <c r="K257" s="6"/>
      <c r="L257" s="112"/>
      <c r="M257" s="16"/>
      <c r="N257" s="259"/>
    </row>
    <row r="258" spans="10:14" ht="15.75" x14ac:dyDescent="0.25">
      <c r="J258" s="258" t="s">
        <v>41</v>
      </c>
      <c r="K258" s="6">
        <v>27.366803935237144</v>
      </c>
      <c r="L258" s="112">
        <v>523.24051335526349</v>
      </c>
      <c r="M258" s="16">
        <f>L258*$C$146</f>
        <v>1152.9154803051536</v>
      </c>
      <c r="N258" s="259">
        <f>M258*K258/1000</f>
        <v>31.551611903410897</v>
      </c>
    </row>
    <row r="259" spans="10:14" ht="15.75" x14ac:dyDescent="0.25">
      <c r="J259" s="258" t="s">
        <v>30</v>
      </c>
      <c r="K259" s="6">
        <v>27.33203872890757</v>
      </c>
      <c r="L259" s="112">
        <v>815.01457757539947</v>
      </c>
      <c r="M259" s="16">
        <f>L259*$C$146</f>
        <v>1795.8145426003284</v>
      </c>
      <c r="N259" s="259">
        <f>M259*K259/1000</f>
        <v>49.08327262828761</v>
      </c>
    </row>
    <row r="260" spans="10:14" ht="15.75" x14ac:dyDescent="0.25">
      <c r="J260" s="258" t="s">
        <v>31</v>
      </c>
      <c r="K260" s="18">
        <v>13.583156918107861</v>
      </c>
      <c r="L260" s="113">
        <v>1106.7886417955353</v>
      </c>
      <c r="M260" s="17">
        <f>L260*$C$146</f>
        <v>2438.7136048955031</v>
      </c>
      <c r="N260" s="267">
        <f>M260*K260/1000</f>
        <v>33.12542957362011</v>
      </c>
    </row>
    <row r="261" spans="10:14" ht="15.75" x14ac:dyDescent="0.25">
      <c r="J261" s="258" t="s">
        <v>44</v>
      </c>
      <c r="K261" s="6">
        <f>SUM(K258:K260)</f>
        <v>68.281999582252581</v>
      </c>
      <c r="L261" s="112">
        <f>(L258*K258+L259*K259+K260*L260)/K261</f>
        <v>756.11602840331477</v>
      </c>
      <c r="M261" s="16">
        <f>L261*$C$146</f>
        <v>1666.0366538956262</v>
      </c>
      <c r="N261" s="259">
        <f>M261*K261/1000</f>
        <v>113.76031410531863</v>
      </c>
    </row>
    <row r="262" spans="10:14" x14ac:dyDescent="0.2">
      <c r="J262" s="231"/>
      <c r="K262" s="120"/>
      <c r="L262" s="120"/>
      <c r="M262" s="120"/>
      <c r="N262" s="232"/>
    </row>
    <row r="263" spans="10:14" ht="15.75" x14ac:dyDescent="0.25">
      <c r="J263" s="258" t="s">
        <v>186</v>
      </c>
      <c r="K263" s="120"/>
      <c r="L263" s="120"/>
      <c r="M263" s="120"/>
      <c r="N263" s="232"/>
    </row>
    <row r="264" spans="10:14" ht="15.75" x14ac:dyDescent="0.25">
      <c r="J264" s="258" t="s">
        <v>21</v>
      </c>
      <c r="K264" s="279">
        <v>1527401.2888365062</v>
      </c>
      <c r="L264" s="262">
        <f>D58</f>
        <v>1.1459152093496445</v>
      </c>
      <c r="M264" s="16">
        <f>L264*$C$146</f>
        <v>2.5249256322002576</v>
      </c>
      <c r="N264" s="259">
        <f>M264*K264/1000</f>
        <v>3856.5746648390036</v>
      </c>
    </row>
    <row r="265" spans="10:14" ht="15.75" x14ac:dyDescent="0.25">
      <c r="J265" s="258" t="s">
        <v>22</v>
      </c>
      <c r="K265" s="279">
        <v>1044570.0577466351</v>
      </c>
      <c r="L265" s="262">
        <f>D59</f>
        <v>1.1400127368858917</v>
      </c>
      <c r="M265" s="16">
        <f>L265*$C$146</f>
        <v>2.5119200416508978</v>
      </c>
      <c r="N265" s="259">
        <f>M265*K265/1000</f>
        <v>2623.8764629622083</v>
      </c>
    </row>
    <row r="266" spans="10:14" ht="15.75" x14ac:dyDescent="0.25">
      <c r="J266" s="258" t="s">
        <v>24</v>
      </c>
      <c r="K266" s="280"/>
      <c r="L266" s="264"/>
      <c r="M266" s="17"/>
      <c r="N266" s="267"/>
    </row>
    <row r="267" spans="10:14" ht="15.75" x14ac:dyDescent="0.25">
      <c r="J267" s="258" t="s">
        <v>2</v>
      </c>
      <c r="K267" s="279">
        <f>SUM(K264:K266)</f>
        <v>2571971.346583141</v>
      </c>
      <c r="L267" s="112">
        <f>(L264*K264+L265*K265+K266*L266)/K267</f>
        <v>1.143518003015872</v>
      </c>
      <c r="M267" s="16">
        <f>L267*$C$146</f>
        <v>2.5196435941677491</v>
      </c>
      <c r="N267" s="259">
        <f>M267*K267/1000</f>
        <v>6480.4511278012105</v>
      </c>
    </row>
    <row r="268" spans="10:14" ht="15.75" x14ac:dyDescent="0.25">
      <c r="J268" s="281"/>
      <c r="K268" s="229"/>
      <c r="L268" s="262"/>
      <c r="M268" s="6"/>
      <c r="N268" s="282"/>
    </row>
    <row r="269" spans="10:14" ht="15.75" x14ac:dyDescent="0.25">
      <c r="J269" s="258" t="s">
        <v>187</v>
      </c>
      <c r="K269" s="229"/>
      <c r="L269" s="262"/>
      <c r="M269" s="6"/>
      <c r="N269" s="282"/>
    </row>
    <row r="270" spans="10:14" ht="15.75" x14ac:dyDescent="0.25">
      <c r="J270" s="258" t="s">
        <v>21</v>
      </c>
      <c r="K270" s="279">
        <v>3958671.8068429641</v>
      </c>
      <c r="L270" s="262">
        <f>D64</f>
        <v>8.0996737513917054</v>
      </c>
      <c r="M270" s="16">
        <f>L270*$C$146</f>
        <v>17.846934660161626</v>
      </c>
      <c r="N270" s="259">
        <f>M270*K270/1000</f>
        <v>70650.157077750337</v>
      </c>
    </row>
    <row r="271" spans="10:14" ht="15.75" x14ac:dyDescent="0.25">
      <c r="J271" s="258" t="s">
        <v>22</v>
      </c>
      <c r="K271" s="279">
        <v>2533884.2854766957</v>
      </c>
      <c r="L271" s="262">
        <f>D65</f>
        <v>8.0579532986977345</v>
      </c>
      <c r="M271" s="16">
        <f>L271*$C$146</f>
        <v>17.755007229986585</v>
      </c>
      <c r="N271" s="259">
        <f>M271*K271/1000</f>
        <v>44989.133808588122</v>
      </c>
    </row>
    <row r="272" spans="10:14" ht="15.75" x14ac:dyDescent="0.25">
      <c r="J272" s="258" t="s">
        <v>24</v>
      </c>
      <c r="K272" s="280"/>
      <c r="L272" s="264"/>
      <c r="M272" s="17"/>
      <c r="N272" s="267"/>
    </row>
    <row r="273" spans="10:16" ht="15.75" x14ac:dyDescent="0.25">
      <c r="J273" s="258" t="s">
        <v>2</v>
      </c>
      <c r="K273" s="279">
        <f>SUM(K270:K272)</f>
        <v>6492556.0923196599</v>
      </c>
      <c r="L273" s="112">
        <f>(L270*K270+L271*K271+K272*L272)/K273</f>
        <v>8.0833912891440125</v>
      </c>
      <c r="M273" s="16">
        <f>L273*$C$146</f>
        <v>17.81105765464752</v>
      </c>
      <c r="N273" s="259">
        <f>M273*K273/1000</f>
        <v>115639.29088633847</v>
      </c>
    </row>
    <row r="274" spans="10:16" ht="15.75" x14ac:dyDescent="0.25">
      <c r="J274" s="258"/>
      <c r="K274" s="283"/>
      <c r="L274" s="283"/>
      <c r="M274" s="276"/>
      <c r="N274" s="259"/>
    </row>
    <row r="275" spans="10:16" ht="15.75" x14ac:dyDescent="0.25">
      <c r="J275" s="258"/>
      <c r="K275" s="320"/>
      <c r="L275" s="283"/>
      <c r="M275" s="276"/>
      <c r="N275" s="259"/>
    </row>
    <row r="276" spans="10:16" ht="15" x14ac:dyDescent="0.2">
      <c r="J276" s="321"/>
      <c r="K276" s="283"/>
      <c r="L276" s="283"/>
      <c r="M276" s="283"/>
      <c r="N276" s="322"/>
    </row>
    <row r="277" spans="10:16" ht="15.75" x14ac:dyDescent="0.25">
      <c r="J277" s="258" t="s">
        <v>99</v>
      </c>
      <c r="K277" s="283"/>
      <c r="L277" s="283"/>
      <c r="M277" s="283"/>
      <c r="N277" s="232"/>
    </row>
    <row r="278" spans="10:16" ht="15.75" x14ac:dyDescent="0.25">
      <c r="J278" s="258" t="s">
        <v>59</v>
      </c>
      <c r="K278" s="283"/>
      <c r="L278" s="283"/>
      <c r="M278" s="283"/>
      <c r="N278" s="323">
        <f>N77+N1038+N133+N139+N145+N151+N157+N249+N264+N270+N43+N83+N127</f>
        <v>403095.12019950419</v>
      </c>
      <c r="O278" s="324">
        <f>N43+N77+N83+N127+N133+N139+N145+N151+N157+N249+N264+N270</f>
        <v>403095.12019950419</v>
      </c>
    </row>
    <row r="279" spans="10:16" ht="15.75" x14ac:dyDescent="0.25">
      <c r="J279" s="258" t="s">
        <v>56</v>
      </c>
      <c r="K279" s="283"/>
      <c r="L279" s="283"/>
      <c r="M279" s="283"/>
      <c r="N279" s="323">
        <f>N49+N78+N84+N128+N134+N140+N146+N152+N158+N255+N265+N271</f>
        <v>88208.086990506999</v>
      </c>
      <c r="O279" s="324">
        <f>N49+N78+N84+N128+N134+N140+N146+N152+N158+N255+N265+N271</f>
        <v>88208.086990506999</v>
      </c>
    </row>
    <row r="280" spans="10:16" ht="15.75" x14ac:dyDescent="0.25">
      <c r="J280" s="258" t="s">
        <v>60</v>
      </c>
      <c r="K280" s="283"/>
      <c r="L280" s="283"/>
      <c r="M280" s="283"/>
      <c r="N280" s="323">
        <f>N60+N70+N129+N135+N141+N147+N153+N159+N121</f>
        <v>2540.9173597456875</v>
      </c>
      <c r="O280" s="324">
        <f>N60+N70+N121+N129+N135+N141+N147+N153+N159</f>
        <v>2540.9173597456875</v>
      </c>
    </row>
    <row r="281" spans="10:16" ht="15.75" x14ac:dyDescent="0.25">
      <c r="J281" s="258" t="s">
        <v>57</v>
      </c>
      <c r="K281" s="283"/>
      <c r="L281" s="283"/>
      <c r="M281" s="283"/>
      <c r="N281" s="323">
        <f>N66+N74+N130+N136+N142+N148+N154+N160+N122</f>
        <v>11105.173659294696</v>
      </c>
      <c r="O281" s="324">
        <f>N66+N74+N122+N130+N136+N142+N148+N154+N160</f>
        <v>11105.173659294696</v>
      </c>
    </row>
    <row r="282" spans="10:16" ht="15.75" x14ac:dyDescent="0.25">
      <c r="J282" s="258" t="s">
        <v>58</v>
      </c>
      <c r="K282" s="283"/>
      <c r="L282" s="283"/>
      <c r="M282" s="283"/>
      <c r="N282" s="323">
        <f>N55+N131+N137+N143+N149+N261+N155+N161</f>
        <v>403.31983205388764</v>
      </c>
      <c r="O282" s="324">
        <f>N55+N131+N137+N143+N149+N155+N161+N261</f>
        <v>403.31983205388764</v>
      </c>
    </row>
    <row r="283" spans="10:16" ht="15.75" x14ac:dyDescent="0.25">
      <c r="J283" s="258" t="s">
        <v>100</v>
      </c>
      <c r="K283" s="283"/>
      <c r="L283" s="283"/>
      <c r="M283" s="283"/>
      <c r="N283" s="323">
        <f>SUM(N278:N282)</f>
        <v>505352.61804110545</v>
      </c>
      <c r="O283" s="324">
        <f>N43+N49+N55+N80+N86+N60+N66+N70+N74+N123+N127+N128+N133+N134+N139+N140+N145+N146+N151+N152+N157+N158+N249+N255+N261+N267+N273</f>
        <v>505352.61804110551</v>
      </c>
      <c r="P283" s="324"/>
    </row>
    <row r="284" spans="10:16" ht="15.75" x14ac:dyDescent="0.25">
      <c r="J284" s="258"/>
      <c r="K284" s="283"/>
      <c r="L284" s="283"/>
      <c r="M284" s="283"/>
      <c r="N284" s="322"/>
      <c r="O284" s="324"/>
    </row>
    <row r="285" spans="10:16" ht="15.75" x14ac:dyDescent="0.25">
      <c r="J285" s="258" t="s">
        <v>101</v>
      </c>
      <c r="K285" s="283"/>
      <c r="L285" s="283"/>
      <c r="M285" s="283"/>
      <c r="N285" s="322"/>
      <c r="O285" s="324"/>
    </row>
    <row r="286" spans="10:16" ht="15.75" x14ac:dyDescent="0.25">
      <c r="J286" s="258" t="s">
        <v>59</v>
      </c>
      <c r="K286" s="283"/>
      <c r="L286" s="283"/>
      <c r="M286" s="283"/>
      <c r="N286" s="323">
        <f>N89+N105+N113+N166+N172+N178+N184+N190+N196</f>
        <v>162694.76456824719</v>
      </c>
      <c r="O286" s="324"/>
    </row>
    <row r="287" spans="10:16" ht="15.75" x14ac:dyDescent="0.25">
      <c r="J287" s="258" t="s">
        <v>56</v>
      </c>
      <c r="K287" s="283"/>
      <c r="L287" s="283"/>
      <c r="M287" s="283"/>
      <c r="N287" s="323">
        <f>N90+N106+N114+N167+N173+N179+N185+N191+N197</f>
        <v>20881.704843354346</v>
      </c>
      <c r="O287" s="324"/>
    </row>
    <row r="288" spans="10:16" ht="15.75" x14ac:dyDescent="0.25">
      <c r="J288" s="258" t="s">
        <v>60</v>
      </c>
      <c r="K288" s="283"/>
      <c r="L288" s="283"/>
      <c r="M288" s="283"/>
      <c r="N288" s="323">
        <f>N91+N107+N115+N168+N174+N180+N186+N192+N198</f>
        <v>2980.7159322302041</v>
      </c>
      <c r="O288" s="324"/>
    </row>
    <row r="289" spans="10:15" ht="15.75" x14ac:dyDescent="0.25">
      <c r="J289" s="258" t="s">
        <v>57</v>
      </c>
      <c r="K289" s="283"/>
      <c r="L289" s="283"/>
      <c r="M289" s="283"/>
      <c r="N289" s="323">
        <f>N92+N108+N116+N169+N175+N181+N187+N193+N199</f>
        <v>14962.702529263204</v>
      </c>
      <c r="O289" s="324"/>
    </row>
    <row r="290" spans="10:15" ht="15.75" x14ac:dyDescent="0.25">
      <c r="J290" s="258" t="s">
        <v>58</v>
      </c>
      <c r="K290" s="283"/>
      <c r="L290" s="283"/>
      <c r="M290" s="283"/>
      <c r="N290" s="323">
        <f>N93+N109+N117+N170+N176+N182+N188+N194+N200</f>
        <v>7800.3509547382109</v>
      </c>
      <c r="O290" s="324"/>
    </row>
    <row r="291" spans="10:15" ht="15.75" x14ac:dyDescent="0.25">
      <c r="J291" s="258" t="s">
        <v>87</v>
      </c>
      <c r="K291" s="283"/>
      <c r="L291" s="283"/>
      <c r="M291" s="283"/>
      <c r="N291" s="323">
        <f>SUM(N286:N290)</f>
        <v>209320.23882783318</v>
      </c>
      <c r="O291" s="324">
        <f>N94+N110+N118+SUM(N166:N200)</f>
        <v>209320.23882783315</v>
      </c>
    </row>
    <row r="292" spans="10:15" ht="15.75" x14ac:dyDescent="0.25">
      <c r="J292" s="258"/>
      <c r="K292" s="283"/>
      <c r="L292" s="283"/>
      <c r="M292" s="283"/>
      <c r="N292" s="322"/>
      <c r="O292" s="324"/>
    </row>
    <row r="293" spans="10:15" ht="15.75" x14ac:dyDescent="0.25">
      <c r="J293" s="258" t="s">
        <v>105</v>
      </c>
      <c r="K293" s="283"/>
      <c r="L293" s="283"/>
      <c r="M293" s="283"/>
      <c r="N293" s="322"/>
      <c r="O293" s="324"/>
    </row>
    <row r="294" spans="10:15" ht="15.75" x14ac:dyDescent="0.25">
      <c r="J294" s="258" t="s">
        <v>59</v>
      </c>
      <c r="K294" s="283"/>
      <c r="L294" s="283"/>
      <c r="M294" s="283"/>
      <c r="N294" s="323">
        <f>N97+N205+N211+N217+N223+N229+N235</f>
        <v>140362.19526282919</v>
      </c>
      <c r="O294" s="324"/>
    </row>
    <row r="295" spans="10:15" ht="15.75" x14ac:dyDescent="0.25">
      <c r="J295" s="258" t="s">
        <v>56</v>
      </c>
      <c r="K295" s="283"/>
      <c r="L295" s="283"/>
      <c r="M295" s="283"/>
      <c r="N295" s="323">
        <f>N98+N206+N212+N218+N224+N230+N236</f>
        <v>23262.913038514682</v>
      </c>
      <c r="O295" s="324"/>
    </row>
    <row r="296" spans="10:15" ht="15.75" x14ac:dyDescent="0.25">
      <c r="J296" s="258" t="s">
        <v>60</v>
      </c>
      <c r="K296" s="283"/>
      <c r="L296" s="283"/>
      <c r="M296" s="283"/>
      <c r="N296" s="323">
        <f>N99+N207+N213+N219+N225+N231+N237</f>
        <v>4546.4186761256387</v>
      </c>
      <c r="O296" s="324"/>
    </row>
    <row r="297" spans="10:15" ht="15.75" x14ac:dyDescent="0.25">
      <c r="J297" s="258" t="s">
        <v>57</v>
      </c>
      <c r="K297" s="283"/>
      <c r="L297" s="283"/>
      <c r="M297" s="283"/>
      <c r="N297" s="323">
        <f>N100+N208+N214+N220+N226+N232+N238</f>
        <v>20633.188801037199</v>
      </c>
      <c r="O297" s="324"/>
    </row>
    <row r="298" spans="10:15" ht="15.75" x14ac:dyDescent="0.25">
      <c r="J298" s="258" t="s">
        <v>58</v>
      </c>
      <c r="K298" s="283"/>
      <c r="L298" s="283"/>
      <c r="M298" s="283"/>
      <c r="N298" s="323">
        <f>N101+N209+N215+N221+N227+N233+N239</f>
        <v>3490.8194357731345</v>
      </c>
      <c r="O298" s="324"/>
    </row>
    <row r="299" spans="10:15" ht="15.75" x14ac:dyDescent="0.25">
      <c r="J299" s="258" t="s">
        <v>102</v>
      </c>
      <c r="K299" s="283"/>
      <c r="L299" s="283"/>
      <c r="M299" s="283"/>
      <c r="N299" s="323">
        <f>SUM(N294:N298)</f>
        <v>192295.53521427984</v>
      </c>
      <c r="O299" s="324">
        <f>N102+SUM(N205:N239)</f>
        <v>192295.53521427984</v>
      </c>
    </row>
    <row r="300" spans="10:15" ht="15.75" x14ac:dyDescent="0.25">
      <c r="J300" s="258"/>
      <c r="K300" s="283"/>
      <c r="L300" s="283"/>
      <c r="M300" s="283"/>
      <c r="N300" s="322"/>
    </row>
    <row r="301" spans="10:15" ht="15.75" x14ac:dyDescent="0.25">
      <c r="J301" s="258" t="s">
        <v>103</v>
      </c>
      <c r="K301" s="283"/>
      <c r="L301" s="283"/>
      <c r="M301" s="283"/>
      <c r="N301" s="322"/>
    </row>
    <row r="302" spans="10:15" ht="15.75" x14ac:dyDescent="0.25">
      <c r="J302" s="258" t="s">
        <v>59</v>
      </c>
      <c r="K302" s="283"/>
      <c r="L302" s="283"/>
      <c r="M302" s="283"/>
      <c r="N302" s="323">
        <f>N278+N286+N294</f>
        <v>706152.08003058063</v>
      </c>
    </row>
    <row r="303" spans="10:15" ht="15.75" x14ac:dyDescent="0.25">
      <c r="J303" s="258" t="s">
        <v>56</v>
      </c>
      <c r="K303" s="283"/>
      <c r="L303" s="283"/>
      <c r="M303" s="283"/>
      <c r="N303" s="323">
        <f>N279+N287+N295</f>
        <v>132352.70487237602</v>
      </c>
    </row>
    <row r="304" spans="10:15" ht="15.75" x14ac:dyDescent="0.25">
      <c r="J304" s="258" t="s">
        <v>60</v>
      </c>
      <c r="K304" s="283"/>
      <c r="L304" s="283"/>
      <c r="M304" s="283"/>
      <c r="N304" s="323">
        <f>N280+N288+N296</f>
        <v>10068.05196810153</v>
      </c>
    </row>
    <row r="305" spans="10:16" ht="15.75" x14ac:dyDescent="0.25">
      <c r="J305" s="258" t="s">
        <v>57</v>
      </c>
      <c r="K305" s="283"/>
      <c r="L305" s="283"/>
      <c r="M305" s="283"/>
      <c r="N305" s="323">
        <f>N281+N289+N297</f>
        <v>46701.064989595099</v>
      </c>
    </row>
    <row r="306" spans="10:16" ht="15.75" x14ac:dyDescent="0.25">
      <c r="J306" s="258" t="s">
        <v>58</v>
      </c>
      <c r="K306" s="283"/>
      <c r="L306" s="283"/>
      <c r="M306" s="283"/>
      <c r="N306" s="323">
        <f>N282+N290+N298</f>
        <v>11694.490222565233</v>
      </c>
    </row>
    <row r="307" spans="10:16" ht="15.75" x14ac:dyDescent="0.25">
      <c r="J307" s="258"/>
      <c r="K307" s="283"/>
      <c r="L307" s="283"/>
      <c r="M307" s="283"/>
      <c r="N307" s="322"/>
    </row>
    <row r="308" spans="10:16" ht="15.75" x14ac:dyDescent="0.25">
      <c r="J308" s="258" t="s">
        <v>50</v>
      </c>
      <c r="K308" s="283"/>
      <c r="L308" s="283"/>
      <c r="M308" s="283"/>
      <c r="N308" s="323">
        <f>SUM(N302:N306)</f>
        <v>906968.39208321855</v>
      </c>
      <c r="O308" s="324">
        <f>N43+N49+N55+N60+N66+N70+N74+N80+N86+N94+N102+N110+N118+N123+N127+N128+N133+N134+N139+N140+N145+N146+N151+N152+N157+N158+SUM(N166:N239)+N249+N255+N261+N267+N273</f>
        <v>906968.39208321832</v>
      </c>
      <c r="P308" s="324"/>
    </row>
    <row r="309" spans="10:16" ht="15" x14ac:dyDescent="0.2">
      <c r="J309" s="321"/>
      <c r="K309" s="283"/>
      <c r="L309" s="283"/>
      <c r="M309" s="283"/>
      <c r="N309" s="322"/>
    </row>
    <row r="310" spans="10:16" ht="15.75" x14ac:dyDescent="0.25">
      <c r="J310" s="257" t="s">
        <v>232</v>
      </c>
      <c r="K310" s="120"/>
      <c r="L310" s="120"/>
      <c r="M310" s="120"/>
      <c r="N310" s="232"/>
    </row>
    <row r="311" spans="10:16" ht="15.75" x14ac:dyDescent="0.25">
      <c r="J311" s="258" t="s">
        <v>184</v>
      </c>
      <c r="K311" s="120"/>
      <c r="L311" s="120"/>
      <c r="M311" s="120"/>
      <c r="N311" s="232"/>
    </row>
    <row r="312" spans="10:16" ht="15.75" x14ac:dyDescent="0.25">
      <c r="J312" s="258" t="s">
        <v>21</v>
      </c>
      <c r="K312" s="243"/>
      <c r="L312" s="243"/>
      <c r="M312" s="6"/>
      <c r="N312" s="259"/>
    </row>
    <row r="313" spans="10:16" ht="15.75" x14ac:dyDescent="0.25">
      <c r="J313" s="258" t="s">
        <v>41</v>
      </c>
      <c r="K313" s="6"/>
      <c r="L313" s="262"/>
      <c r="M313" s="16"/>
      <c r="N313" s="259"/>
    </row>
    <row r="314" spans="10:16" ht="15.75" x14ac:dyDescent="0.25">
      <c r="J314" s="258" t="s">
        <v>30</v>
      </c>
      <c r="K314" s="6"/>
      <c r="L314" s="262"/>
      <c r="M314" s="16"/>
      <c r="N314" s="259"/>
    </row>
    <row r="315" spans="10:16" ht="15.75" x14ac:dyDescent="0.25">
      <c r="J315" s="258" t="s">
        <v>31</v>
      </c>
      <c r="K315" s="18"/>
      <c r="L315" s="264"/>
      <c r="M315" s="265"/>
      <c r="N315" s="267"/>
    </row>
    <row r="316" spans="10:16" ht="15.75" x14ac:dyDescent="0.25">
      <c r="J316" s="258" t="s">
        <v>42</v>
      </c>
      <c r="K316" s="6"/>
      <c r="L316" s="112"/>
      <c r="M316" s="16"/>
      <c r="N316" s="259"/>
    </row>
    <row r="317" spans="10:16" ht="15.75" x14ac:dyDescent="0.25">
      <c r="J317" s="258"/>
      <c r="K317" s="6"/>
      <c r="L317" s="112"/>
      <c r="M317" s="16"/>
      <c r="N317" s="259"/>
    </row>
    <row r="318" spans="10:16" ht="15.75" x14ac:dyDescent="0.25">
      <c r="J318" s="258" t="s">
        <v>22</v>
      </c>
      <c r="K318" s="6"/>
      <c r="L318" s="112"/>
      <c r="M318" s="16"/>
      <c r="N318" s="259"/>
    </row>
    <row r="319" spans="10:16" ht="15.75" x14ac:dyDescent="0.25">
      <c r="J319" s="258" t="s">
        <v>41</v>
      </c>
      <c r="K319" s="6"/>
      <c r="L319" s="112"/>
      <c r="M319" s="16"/>
      <c r="N319" s="259"/>
    </row>
    <row r="320" spans="10:16" ht="15.75" x14ac:dyDescent="0.25">
      <c r="J320" s="258" t="s">
        <v>30</v>
      </c>
      <c r="K320" s="6">
        <v>104.33116883116884</v>
      </c>
      <c r="L320" s="112">
        <v>85.125079791627243</v>
      </c>
      <c r="M320" s="16">
        <f>L320*$C$146</f>
        <v>187.565793834743</v>
      </c>
      <c r="N320" s="259">
        <f>M320*K320/1000</f>
        <v>19.56895850352478</v>
      </c>
    </row>
    <row r="321" spans="10:14" ht="15.75" x14ac:dyDescent="0.25">
      <c r="J321" s="258" t="s">
        <v>31</v>
      </c>
      <c r="K321" s="18"/>
      <c r="L321" s="113"/>
      <c r="M321" s="17"/>
      <c r="N321" s="269"/>
    </row>
    <row r="322" spans="10:14" ht="15.75" x14ac:dyDescent="0.25">
      <c r="J322" s="258" t="s">
        <v>43</v>
      </c>
      <c r="K322" s="6">
        <f>SUM(K319:K321)</f>
        <v>104.33116883116884</v>
      </c>
      <c r="L322" s="112">
        <f>(L319*K319+L320*K320)/K322</f>
        <v>85.125079791627243</v>
      </c>
      <c r="M322" s="16">
        <f>L322*$C$146</f>
        <v>187.565793834743</v>
      </c>
      <c r="N322" s="259">
        <f>M322*K322/1000</f>
        <v>19.56895850352478</v>
      </c>
    </row>
    <row r="323" spans="10:14" ht="15.75" x14ac:dyDescent="0.25">
      <c r="J323" s="258"/>
      <c r="K323" s="6"/>
      <c r="L323" s="112"/>
      <c r="M323" s="16"/>
      <c r="N323" s="259"/>
    </row>
    <row r="324" spans="10:14" ht="15.75" x14ac:dyDescent="0.25">
      <c r="J324" s="258" t="s">
        <v>24</v>
      </c>
      <c r="K324" s="6"/>
      <c r="L324" s="112"/>
      <c r="M324" s="16"/>
      <c r="N324" s="259"/>
    </row>
    <row r="325" spans="10:14" ht="15.75" x14ac:dyDescent="0.25">
      <c r="J325" s="258" t="s">
        <v>41</v>
      </c>
      <c r="K325" s="6"/>
      <c r="L325" s="112"/>
      <c r="M325" s="16"/>
      <c r="N325" s="259"/>
    </row>
    <row r="326" spans="10:14" ht="15.75" x14ac:dyDescent="0.25">
      <c r="J326" s="258" t="s">
        <v>30</v>
      </c>
      <c r="K326" s="6">
        <v>38.733766233766232</v>
      </c>
      <c r="L326" s="112">
        <v>687.86268093758179</v>
      </c>
      <c r="M326" s="16">
        <f>L326*$C$146</f>
        <v>1515.6462715238738</v>
      </c>
      <c r="N326" s="259">
        <f>M326*K326/1000</f>
        <v>58.706688374285108</v>
      </c>
    </row>
    <row r="327" spans="10:14" ht="15.75" x14ac:dyDescent="0.25">
      <c r="J327" s="258" t="s">
        <v>31</v>
      </c>
      <c r="K327" s="18">
        <v>24.935064935064936</v>
      </c>
      <c r="L327" s="113">
        <v>1125.5237772677856</v>
      </c>
      <c r="M327" s="17">
        <f>L327*$C$146</f>
        <v>2479.9948649666358</v>
      </c>
      <c r="N327" s="267">
        <f>M327*K327/1000</f>
        <v>61.838832996570659</v>
      </c>
    </row>
    <row r="328" spans="10:14" ht="15.75" x14ac:dyDescent="0.25">
      <c r="J328" s="258" t="s">
        <v>44</v>
      </c>
      <c r="K328" s="6">
        <f>SUM(K325:K327)</f>
        <v>63.668831168831169</v>
      </c>
      <c r="L328" s="112">
        <f>(L326*K326+L327*K327)/K328</f>
        <v>859.26692468138424</v>
      </c>
      <c r="M328" s="16">
        <f>L328*$C$146</f>
        <v>1893.3207844071176</v>
      </c>
      <c r="N328" s="259">
        <f>M328*K328/1000</f>
        <v>120.54552137085577</v>
      </c>
    </row>
    <row r="329" spans="10:14" ht="15.75" x14ac:dyDescent="0.25">
      <c r="J329" s="258"/>
      <c r="K329" s="6"/>
      <c r="L329" s="112"/>
      <c r="M329" s="16"/>
      <c r="N329" s="259"/>
    </row>
    <row r="330" spans="10:14" ht="15.75" x14ac:dyDescent="0.25">
      <c r="J330" s="325" t="s">
        <v>52</v>
      </c>
      <c r="K330" s="6"/>
      <c r="L330" s="112"/>
      <c r="M330" s="16"/>
      <c r="N330" s="259"/>
    </row>
    <row r="331" spans="10:14" ht="15.75" x14ac:dyDescent="0.25">
      <c r="J331" s="325" t="s">
        <v>47</v>
      </c>
      <c r="K331" s="289">
        <v>35</v>
      </c>
      <c r="L331" s="326">
        <f>L320</f>
        <v>85.125079791627243</v>
      </c>
      <c r="M331" s="326">
        <f>M320</f>
        <v>187.565793834743</v>
      </c>
      <c r="N331" s="259">
        <f>M331*K331/1000</f>
        <v>6.5648027842160053</v>
      </c>
    </row>
    <row r="332" spans="10:14" ht="15.75" x14ac:dyDescent="0.25">
      <c r="J332" s="325" t="s">
        <v>64</v>
      </c>
      <c r="K332" s="289"/>
      <c r="L332" s="326"/>
      <c r="M332" s="327"/>
      <c r="N332" s="259"/>
    </row>
    <row r="333" spans="10:14" ht="15.75" x14ac:dyDescent="0.25">
      <c r="J333" s="325"/>
      <c r="K333" s="289"/>
      <c r="L333" s="326"/>
      <c r="M333" s="327"/>
      <c r="N333" s="259"/>
    </row>
    <row r="334" spans="10:14" ht="15.75" x14ac:dyDescent="0.25">
      <c r="J334" s="325" t="s">
        <v>65</v>
      </c>
      <c r="K334" s="289">
        <f>'Distribution UDC + Bond'!P198</f>
        <v>36</v>
      </c>
      <c r="L334" s="326"/>
      <c r="M334" s="326">
        <v>1.22</v>
      </c>
      <c r="N334" s="259">
        <f>K334*M334/1000</f>
        <v>4.3920000000000001E-2</v>
      </c>
    </row>
    <row r="335" spans="10:14" ht="15.75" x14ac:dyDescent="0.25">
      <c r="J335" s="325" t="s">
        <v>66</v>
      </c>
      <c r="K335" s="289">
        <f>'Distribution UDC + Bond'!P199</f>
        <v>40368</v>
      </c>
      <c r="L335" s="326"/>
      <c r="M335" s="326">
        <v>3.13</v>
      </c>
      <c r="N335" s="267">
        <f>K335*M335/1000</f>
        <v>126.35184</v>
      </c>
    </row>
    <row r="336" spans="10:14" ht="15.75" x14ac:dyDescent="0.25">
      <c r="J336" s="325" t="s">
        <v>64</v>
      </c>
      <c r="K336" s="6"/>
      <c r="L336" s="112"/>
      <c r="M336" s="16"/>
      <c r="N336" s="259">
        <f>SUM(N334:N335)</f>
        <v>126.39576</v>
      </c>
    </row>
    <row r="337" spans="10:14" ht="15.75" x14ac:dyDescent="0.25">
      <c r="J337" s="258"/>
      <c r="K337" s="6"/>
      <c r="L337" s="112"/>
      <c r="M337" s="16"/>
      <c r="N337" s="259"/>
    </row>
    <row r="338" spans="10:14" ht="15.75" x14ac:dyDescent="0.25">
      <c r="J338" s="258"/>
      <c r="K338" s="6"/>
      <c r="L338" s="112"/>
      <c r="M338" s="16"/>
      <c r="N338" s="259"/>
    </row>
    <row r="339" spans="10:14" x14ac:dyDescent="0.2">
      <c r="J339" s="231"/>
      <c r="K339" s="120"/>
      <c r="L339" s="120"/>
      <c r="M339" s="120"/>
      <c r="N339" s="232"/>
    </row>
    <row r="340" spans="10:14" ht="15.75" x14ac:dyDescent="0.25">
      <c r="J340" s="258" t="s">
        <v>186</v>
      </c>
      <c r="K340" s="120"/>
      <c r="L340" s="120"/>
      <c r="M340" s="120"/>
      <c r="N340" s="232"/>
    </row>
    <row r="341" spans="10:14" ht="15.75" x14ac:dyDescent="0.25">
      <c r="J341" s="258" t="s">
        <v>21</v>
      </c>
      <c r="K341" s="279"/>
      <c r="L341" s="262"/>
      <c r="M341" s="16"/>
      <c r="N341" s="259"/>
    </row>
    <row r="342" spans="10:14" ht="15.75" x14ac:dyDescent="0.25">
      <c r="J342" s="258" t="s">
        <v>22</v>
      </c>
      <c r="K342" s="279">
        <v>14553.521234576212</v>
      </c>
      <c r="L342" s="262">
        <f>D59</f>
        <v>1.1400127368858917</v>
      </c>
      <c r="M342" s="16">
        <f>L342*$C$146</f>
        <v>2.5119200416508978</v>
      </c>
      <c r="N342" s="259">
        <f>M342*K342/1000</f>
        <v>36.557281665723899</v>
      </c>
    </row>
    <row r="343" spans="10:14" ht="15.75" x14ac:dyDescent="0.25">
      <c r="J343" s="258" t="s">
        <v>24</v>
      </c>
      <c r="K343" s="280"/>
      <c r="L343" s="264"/>
      <c r="M343" s="17"/>
      <c r="N343" s="267"/>
    </row>
    <row r="344" spans="10:14" ht="15.75" x14ac:dyDescent="0.25">
      <c r="J344" s="258" t="s">
        <v>2</v>
      </c>
      <c r="K344" s="279">
        <f>SUM(K341:K343)</f>
        <v>14553.521234576212</v>
      </c>
      <c r="L344" s="262">
        <f>L342</f>
        <v>1.1400127368858917</v>
      </c>
      <c r="M344" s="16">
        <f>L344*$C$146</f>
        <v>2.5119200416508978</v>
      </c>
      <c r="N344" s="259">
        <f>M344*K344/1000</f>
        <v>36.557281665723899</v>
      </c>
    </row>
    <row r="345" spans="10:14" ht="15.75" x14ac:dyDescent="0.25">
      <c r="J345" s="281"/>
      <c r="K345" s="229"/>
      <c r="L345" s="229"/>
      <c r="M345" s="6"/>
      <c r="N345" s="282"/>
    </row>
    <row r="346" spans="10:14" ht="15.75" x14ac:dyDescent="0.25">
      <c r="J346" s="258" t="s">
        <v>187</v>
      </c>
      <c r="K346" s="229"/>
      <c r="L346" s="229"/>
      <c r="M346" s="6"/>
      <c r="N346" s="282"/>
    </row>
    <row r="347" spans="10:14" ht="15.75" x14ac:dyDescent="0.25">
      <c r="J347" s="258" t="s">
        <v>21</v>
      </c>
      <c r="K347" s="279"/>
      <c r="L347" s="262"/>
      <c r="M347" s="16"/>
      <c r="N347" s="259"/>
    </row>
    <row r="348" spans="10:14" ht="15.75" x14ac:dyDescent="0.25">
      <c r="J348" s="258" t="s">
        <v>22</v>
      </c>
      <c r="K348" s="279">
        <v>190501.40380322782</v>
      </c>
      <c r="L348" s="262">
        <f>D65</f>
        <v>8.0579532986977345</v>
      </c>
      <c r="M348" s="16">
        <f>L348*$C$146</f>
        <v>17.755007229986585</v>
      </c>
      <c r="N348" s="259">
        <f>M348*K348/1000</f>
        <v>3382.3538018489039</v>
      </c>
    </row>
    <row r="349" spans="10:14" ht="15.75" x14ac:dyDescent="0.25">
      <c r="J349" s="258" t="s">
        <v>24</v>
      </c>
      <c r="K349" s="280"/>
      <c r="L349" s="264"/>
      <c r="M349" s="17"/>
      <c r="N349" s="267"/>
    </row>
    <row r="350" spans="10:14" ht="15.75" x14ac:dyDescent="0.25">
      <c r="J350" s="258" t="s">
        <v>2</v>
      </c>
      <c r="K350" s="279">
        <f>SUM(K347:K349)</f>
        <v>190501.40380322782</v>
      </c>
      <c r="L350" s="262">
        <f>L348</f>
        <v>8.0579532986977345</v>
      </c>
      <c r="M350" s="16">
        <f>L350*$C$146</f>
        <v>17.755007229986585</v>
      </c>
      <c r="N350" s="259">
        <f>M350*K350/1000</f>
        <v>3382.3538018489039</v>
      </c>
    </row>
    <row r="351" spans="10:14" ht="15.75" x14ac:dyDescent="0.25">
      <c r="J351" s="258"/>
      <c r="K351" s="283"/>
      <c r="L351" s="283"/>
      <c r="M351" s="276"/>
      <c r="N351" s="259"/>
    </row>
    <row r="352" spans="10:14" ht="15.75" x14ac:dyDescent="0.25">
      <c r="J352" s="258" t="s">
        <v>229</v>
      </c>
      <c r="K352" s="320"/>
      <c r="L352" s="283"/>
      <c r="M352" s="276"/>
      <c r="N352" s="259"/>
    </row>
    <row r="353" spans="10:14" ht="15.75" x14ac:dyDescent="0.25">
      <c r="J353" s="258"/>
      <c r="K353" s="320"/>
      <c r="L353" s="283"/>
      <c r="M353" s="276"/>
      <c r="N353" s="259"/>
    </row>
    <row r="354" spans="10:14" ht="15.75" x14ac:dyDescent="0.25">
      <c r="J354" s="258"/>
      <c r="K354" s="320"/>
      <c r="L354" s="283"/>
      <c r="M354" s="276"/>
      <c r="N354" s="259"/>
    </row>
    <row r="355" spans="10:14" ht="15.75" x14ac:dyDescent="0.25">
      <c r="J355" s="325" t="s">
        <v>98</v>
      </c>
      <c r="K355" s="16"/>
      <c r="L355" s="283"/>
      <c r="M355" s="276"/>
      <c r="N355" s="259"/>
    </row>
    <row r="356" spans="10:14" ht="15.75" x14ac:dyDescent="0.25">
      <c r="J356" s="325" t="s">
        <v>22</v>
      </c>
      <c r="K356" s="289">
        <v>258466.70736917754</v>
      </c>
      <c r="L356" s="283"/>
      <c r="M356" s="327">
        <v>13.63</v>
      </c>
      <c r="N356" s="259">
        <f>M356*K356/1000</f>
        <v>3522.9012214418899</v>
      </c>
    </row>
    <row r="357" spans="10:14" ht="15.75" x14ac:dyDescent="0.25">
      <c r="J357" s="325" t="s">
        <v>52</v>
      </c>
      <c r="K357" s="289">
        <v>204796.72366850788</v>
      </c>
      <c r="L357" s="283"/>
      <c r="M357" s="327">
        <v>13.63</v>
      </c>
      <c r="N357" s="259">
        <f>M357*K357/1000</f>
        <v>2791.3793436017627</v>
      </c>
    </row>
    <row r="358" spans="10:14" ht="15.75" x14ac:dyDescent="0.25">
      <c r="J358" s="325" t="s">
        <v>24</v>
      </c>
      <c r="K358" s="289">
        <v>1288152.1643481371</v>
      </c>
      <c r="L358" s="283"/>
      <c r="M358" s="327">
        <v>13.56</v>
      </c>
      <c r="N358" s="267">
        <f>M358*K358/1000</f>
        <v>17467.343348560738</v>
      </c>
    </row>
    <row r="359" spans="10:14" ht="15.75" x14ac:dyDescent="0.25">
      <c r="J359" s="325" t="s">
        <v>2</v>
      </c>
      <c r="K359" s="327"/>
      <c r="L359" s="283"/>
      <c r="M359" s="276"/>
      <c r="N359" s="259">
        <f>SUM(N356:N358)</f>
        <v>23781.623913604391</v>
      </c>
    </row>
    <row r="360" spans="10:14" ht="15.75" x14ac:dyDescent="0.25">
      <c r="J360" s="325"/>
      <c r="K360" s="327"/>
      <c r="L360" s="283"/>
      <c r="M360" s="276"/>
      <c r="N360" s="259"/>
    </row>
    <row r="361" spans="10:14" ht="15.75" x14ac:dyDescent="0.25">
      <c r="J361" s="325" t="s">
        <v>97</v>
      </c>
      <c r="K361" s="327"/>
      <c r="L361" s="283"/>
      <c r="M361" s="276"/>
      <c r="N361" s="259"/>
    </row>
    <row r="362" spans="10:14" ht="15.75" x14ac:dyDescent="0.25">
      <c r="J362" s="325" t="s">
        <v>22</v>
      </c>
      <c r="K362" s="289">
        <v>258466.70736917754</v>
      </c>
      <c r="L362" s="283"/>
      <c r="M362" s="327">
        <v>0.29332732121776744</v>
      </c>
      <c r="N362" s="259">
        <f>M362*K362/1000</f>
        <v>75.815346896577438</v>
      </c>
    </row>
    <row r="363" spans="10:14" ht="15.75" x14ac:dyDescent="0.25">
      <c r="J363" s="325" t="s">
        <v>52</v>
      </c>
      <c r="K363" s="289">
        <v>204796.72366850788</v>
      </c>
      <c r="L363" s="283"/>
      <c r="M363" s="327">
        <v>0.29332732121776744</v>
      </c>
      <c r="N363" s="259">
        <f>M363*K363/1000</f>
        <v>60.072474347858773</v>
      </c>
    </row>
    <row r="364" spans="10:14" ht="15.75" x14ac:dyDescent="0.25">
      <c r="J364" s="325" t="s">
        <v>24</v>
      </c>
      <c r="K364" s="289">
        <v>1288152.1643481371</v>
      </c>
      <c r="L364" s="283"/>
      <c r="M364" s="327">
        <v>0.29332732121776744</v>
      </c>
      <c r="N364" s="267">
        <f>M364*K364/1000</f>
        <v>377.85022368910836</v>
      </c>
    </row>
    <row r="365" spans="10:14" ht="15.75" x14ac:dyDescent="0.25">
      <c r="J365" s="325" t="s">
        <v>2</v>
      </c>
      <c r="K365" s="327"/>
      <c r="L365" s="283"/>
      <c r="M365" s="276"/>
      <c r="N365" s="259">
        <f>SUM(N362:N364)</f>
        <v>513.73804493354464</v>
      </c>
    </row>
    <row r="366" spans="10:14" ht="15.75" x14ac:dyDescent="0.25">
      <c r="J366" s="325"/>
      <c r="K366" s="327"/>
      <c r="L366" s="283"/>
      <c r="M366" s="276"/>
      <c r="N366" s="259"/>
    </row>
    <row r="367" spans="10:14" ht="15.75" x14ac:dyDescent="0.25">
      <c r="J367" s="325" t="s">
        <v>61</v>
      </c>
      <c r="K367" s="327"/>
      <c r="L367" s="283"/>
      <c r="M367" s="276"/>
      <c r="N367" s="259"/>
    </row>
    <row r="368" spans="10:14" ht="15.75" x14ac:dyDescent="0.25">
      <c r="J368" s="325" t="s">
        <v>22</v>
      </c>
      <c r="K368" s="289">
        <v>29714.933638630439</v>
      </c>
      <c r="L368" s="283"/>
      <c r="M368" s="327">
        <v>3.45</v>
      </c>
      <c r="N368" s="259">
        <f>M368*K368/1000</f>
        <v>102.51652105327501</v>
      </c>
    </row>
    <row r="369" spans="10:19" ht="15.75" x14ac:dyDescent="0.25">
      <c r="J369" s="325" t="s">
        <v>52</v>
      </c>
      <c r="K369" s="289">
        <v>37452.645392163526</v>
      </c>
      <c r="L369" s="283"/>
      <c r="M369" s="327">
        <v>3.45</v>
      </c>
      <c r="N369" s="259">
        <f>M369*K369/1000</f>
        <v>129.21162660296417</v>
      </c>
    </row>
    <row r="370" spans="10:19" ht="15.75" x14ac:dyDescent="0.25">
      <c r="J370" s="325" t="s">
        <v>24</v>
      </c>
      <c r="K370" s="289">
        <v>422915.88653118804</v>
      </c>
      <c r="L370" s="283"/>
      <c r="M370" s="327">
        <v>3.44</v>
      </c>
      <c r="N370" s="267">
        <f>M370*K370/1000</f>
        <v>1454.8306496672867</v>
      </c>
    </row>
    <row r="371" spans="10:19" ht="15.75" x14ac:dyDescent="0.25">
      <c r="J371" s="325" t="s">
        <v>2</v>
      </c>
      <c r="K371" s="6"/>
      <c r="L371" s="283"/>
      <c r="M371" s="276"/>
      <c r="N371" s="259">
        <f>SUM(N368:N370)</f>
        <v>1686.5587973235258</v>
      </c>
    </row>
    <row r="372" spans="10:19" ht="15.75" x14ac:dyDescent="0.25">
      <c r="J372" s="325"/>
      <c r="K372" s="6"/>
      <c r="L372" s="283"/>
      <c r="M372" s="276"/>
      <c r="N372" s="259"/>
    </row>
    <row r="373" spans="10:19" ht="15.75" x14ac:dyDescent="0.25">
      <c r="J373" s="325" t="s">
        <v>62</v>
      </c>
      <c r="K373" s="6"/>
      <c r="L373" s="283"/>
      <c r="M373" s="276"/>
      <c r="N373" s="259"/>
    </row>
    <row r="374" spans="10:19" ht="15.75" x14ac:dyDescent="0.25">
      <c r="J374" s="325" t="s">
        <v>22</v>
      </c>
      <c r="K374" s="289">
        <v>38854.30514575167</v>
      </c>
      <c r="L374" s="283"/>
      <c r="M374" s="327">
        <v>0.65</v>
      </c>
      <c r="N374" s="259">
        <f>M374*K374/1000</f>
        <v>25.255298344738584</v>
      </c>
    </row>
    <row r="375" spans="10:19" ht="15.75" x14ac:dyDescent="0.25">
      <c r="J375" s="325" t="s">
        <v>52</v>
      </c>
      <c r="K375" s="289">
        <v>64936.753769231233</v>
      </c>
      <c r="L375" s="283"/>
      <c r="M375" s="327">
        <v>0.65</v>
      </c>
      <c r="N375" s="259">
        <f>M375*K375/1000</f>
        <v>42.208889950000305</v>
      </c>
    </row>
    <row r="376" spans="10:19" ht="15.75" x14ac:dyDescent="0.25">
      <c r="J376" s="325" t="s">
        <v>24</v>
      </c>
      <c r="K376" s="289">
        <v>538610.03991401719</v>
      </c>
      <c r="L376" s="283"/>
      <c r="M376" s="327">
        <v>0.65</v>
      </c>
      <c r="N376" s="267">
        <f>M376*K376/1000</f>
        <v>350.09652594411119</v>
      </c>
    </row>
    <row r="377" spans="10:19" ht="15.75" x14ac:dyDescent="0.25">
      <c r="J377" s="325" t="s">
        <v>2</v>
      </c>
      <c r="K377" s="16"/>
      <c r="L377" s="283"/>
      <c r="M377" s="276"/>
      <c r="N377" s="259">
        <f>SUM(N374:N376)</f>
        <v>417.5607142388501</v>
      </c>
    </row>
    <row r="378" spans="10:19" ht="15.75" x14ac:dyDescent="0.25">
      <c r="J378" s="325"/>
      <c r="K378" s="16"/>
      <c r="L378" s="283"/>
      <c r="M378" s="276"/>
      <c r="N378" s="259"/>
    </row>
    <row r="379" spans="10:19" ht="15.75" x14ac:dyDescent="0.25">
      <c r="J379" s="325" t="s">
        <v>36</v>
      </c>
      <c r="K379" s="16"/>
      <c r="L379" s="283"/>
      <c r="M379" s="276"/>
      <c r="N379" s="259"/>
    </row>
    <row r="380" spans="10:19" ht="15.75" x14ac:dyDescent="0.25">
      <c r="J380" s="325" t="s">
        <v>52</v>
      </c>
      <c r="K380" s="289">
        <v>204796.72366850788</v>
      </c>
      <c r="L380" s="283"/>
      <c r="M380" s="328">
        <v>49.74</v>
      </c>
      <c r="N380" s="259">
        <f>M380/12*K380/1000</f>
        <v>848.88241960596531</v>
      </c>
      <c r="P380" s="291">
        <f>M380/12</f>
        <v>4.1450000000000005</v>
      </c>
      <c r="Q380" s="292">
        <f>M348</f>
        <v>17.755007229986585</v>
      </c>
      <c r="R380" s="291">
        <f>Q380-P380</f>
        <v>13.610007229986586</v>
      </c>
      <c r="S380" s="329">
        <f>K380*R380</f>
        <v>2787284.8898059572</v>
      </c>
    </row>
    <row r="381" spans="10:19" ht="15.75" x14ac:dyDescent="0.25">
      <c r="J381" s="325"/>
      <c r="K381" s="16"/>
      <c r="L381" s="283"/>
      <c r="M381" s="276"/>
      <c r="N381" s="259"/>
    </row>
    <row r="382" spans="10:19" ht="15.75" x14ac:dyDescent="0.25">
      <c r="J382" s="325" t="s">
        <v>96</v>
      </c>
      <c r="K382" s="6"/>
      <c r="L382" s="283"/>
      <c r="M382" s="276"/>
      <c r="N382" s="259"/>
    </row>
    <row r="383" spans="10:19" ht="15.75" x14ac:dyDescent="0.25">
      <c r="J383" s="325" t="s">
        <v>54</v>
      </c>
      <c r="K383" s="6"/>
      <c r="L383" s="283"/>
      <c r="M383" s="276"/>
      <c r="N383" s="259"/>
    </row>
    <row r="384" spans="10:19" ht="15.75" x14ac:dyDescent="0.25">
      <c r="J384" s="325" t="s">
        <v>56</v>
      </c>
      <c r="K384" s="289">
        <v>4165335.4957887209</v>
      </c>
      <c r="L384" s="283"/>
      <c r="M384" s="319">
        <v>0</v>
      </c>
      <c r="N384" s="297">
        <f>K384*M384/1000</f>
        <v>0</v>
      </c>
    </row>
    <row r="385" spans="10:14" ht="15.75" x14ac:dyDescent="0.25">
      <c r="J385" s="325" t="s">
        <v>57</v>
      </c>
      <c r="K385" s="289">
        <v>6976880.8567989077</v>
      </c>
      <c r="L385" s="283"/>
      <c r="M385" s="319">
        <v>0</v>
      </c>
      <c r="N385" s="297">
        <f>K385*M385/1000</f>
        <v>0</v>
      </c>
    </row>
    <row r="386" spans="10:14" ht="15.75" x14ac:dyDescent="0.25">
      <c r="J386" s="325" t="s">
        <v>58</v>
      </c>
      <c r="K386" s="289">
        <v>59306004.618581809</v>
      </c>
      <c r="L386" s="283"/>
      <c r="M386" s="319">
        <v>0</v>
      </c>
      <c r="N386" s="297">
        <f>K386*M386/1000</f>
        <v>0</v>
      </c>
    </row>
    <row r="387" spans="10:14" ht="15.75" x14ac:dyDescent="0.25">
      <c r="J387" s="325" t="s">
        <v>238</v>
      </c>
      <c r="K387" s="6"/>
      <c r="L387" s="283"/>
      <c r="M387" s="319"/>
      <c r="N387" s="259"/>
    </row>
    <row r="388" spans="10:14" ht="15.75" x14ac:dyDescent="0.25">
      <c r="J388" s="325" t="s">
        <v>56</v>
      </c>
      <c r="K388" s="289">
        <v>11956254.720378915</v>
      </c>
      <c r="L388" s="283"/>
      <c r="M388" s="319">
        <v>0</v>
      </c>
      <c r="N388" s="297">
        <f>K388*M388/1000</f>
        <v>0</v>
      </c>
    </row>
    <row r="389" spans="10:14" ht="15.75" x14ac:dyDescent="0.25">
      <c r="J389" s="325" t="s">
        <v>57</v>
      </c>
      <c r="K389" s="289">
        <v>16446042.393101709</v>
      </c>
      <c r="L389" s="283"/>
      <c r="M389" s="319">
        <v>0</v>
      </c>
      <c r="N389" s="297">
        <f>K389*M389/1000</f>
        <v>0</v>
      </c>
    </row>
    <row r="390" spans="10:14" ht="15.75" x14ac:dyDescent="0.25">
      <c r="J390" s="325" t="s">
        <v>58</v>
      </c>
      <c r="K390" s="289">
        <v>131447517.86628538</v>
      </c>
      <c r="L390" s="283"/>
      <c r="M390" s="319">
        <v>0</v>
      </c>
      <c r="N390" s="297">
        <f>K390*M390/1000</f>
        <v>0</v>
      </c>
    </row>
    <row r="391" spans="10:14" ht="15.75" x14ac:dyDescent="0.25">
      <c r="J391" s="325" t="s">
        <v>216</v>
      </c>
      <c r="K391" s="6"/>
      <c r="L391" s="283"/>
      <c r="M391" s="319"/>
      <c r="N391" s="259"/>
    </row>
    <row r="392" spans="10:14" ht="15.75" x14ac:dyDescent="0.25">
      <c r="J392" s="325" t="s">
        <v>56</v>
      </c>
      <c r="K392" s="289">
        <v>5938225.9421842787</v>
      </c>
      <c r="L392" s="283"/>
      <c r="M392" s="319">
        <v>0</v>
      </c>
      <c r="N392" s="297">
        <f>K392*M392/1000</f>
        <v>0</v>
      </c>
    </row>
    <row r="393" spans="10:14" ht="15.75" x14ac:dyDescent="0.25">
      <c r="J393" s="325" t="s">
        <v>57</v>
      </c>
      <c r="K393" s="289">
        <v>10571845.903698158</v>
      </c>
      <c r="L393" s="283"/>
      <c r="M393" s="319">
        <v>0</v>
      </c>
      <c r="N393" s="297">
        <f>K393*M393/1000</f>
        <v>0</v>
      </c>
    </row>
    <row r="394" spans="10:14" ht="15.75" x14ac:dyDescent="0.25">
      <c r="J394" s="325" t="s">
        <v>58</v>
      </c>
      <c r="K394" s="289">
        <v>95350867.203182146</v>
      </c>
      <c r="L394" s="283"/>
      <c r="M394" s="319">
        <v>0</v>
      </c>
      <c r="N394" s="297">
        <f>K394*M394/1000</f>
        <v>0</v>
      </c>
    </row>
    <row r="395" spans="10:14" ht="15.75" x14ac:dyDescent="0.25">
      <c r="J395" s="325" t="s">
        <v>55</v>
      </c>
      <c r="K395" s="6"/>
      <c r="L395" s="283"/>
      <c r="M395" s="319"/>
      <c r="N395" s="259"/>
    </row>
    <row r="396" spans="10:14" ht="15.75" x14ac:dyDescent="0.25">
      <c r="J396" s="325" t="s">
        <v>56</v>
      </c>
      <c r="K396" s="289">
        <v>5518780.3154946594</v>
      </c>
      <c r="L396" s="283"/>
      <c r="M396" s="319">
        <v>0</v>
      </c>
      <c r="N396" s="297">
        <f>K396*M396/1000</f>
        <v>0</v>
      </c>
    </row>
    <row r="397" spans="10:14" ht="15.75" x14ac:dyDescent="0.25">
      <c r="J397" s="325" t="s">
        <v>57</v>
      </c>
      <c r="K397" s="289">
        <v>9528527.4382747225</v>
      </c>
      <c r="L397" s="283"/>
      <c r="M397" s="319">
        <v>0</v>
      </c>
      <c r="N397" s="297">
        <f>K397*M397/1000</f>
        <v>0</v>
      </c>
    </row>
    <row r="398" spans="10:14" ht="15.75" x14ac:dyDescent="0.25">
      <c r="J398" s="325" t="s">
        <v>58</v>
      </c>
      <c r="K398" s="289">
        <v>79378979.689134613</v>
      </c>
      <c r="L398" s="283"/>
      <c r="M398" s="319">
        <v>0</v>
      </c>
      <c r="N398" s="297">
        <f>K398*M398/1000</f>
        <v>0</v>
      </c>
    </row>
    <row r="399" spans="10:14" ht="15.75" x14ac:dyDescent="0.25">
      <c r="J399" s="325" t="s">
        <v>227</v>
      </c>
      <c r="K399" s="289"/>
      <c r="L399" s="283"/>
      <c r="M399" s="319"/>
      <c r="N399" s="259"/>
    </row>
    <row r="400" spans="10:14" ht="15.75" x14ac:dyDescent="0.25">
      <c r="J400" s="325" t="s">
        <v>56</v>
      </c>
      <c r="K400" s="289">
        <v>14297470.364830174</v>
      </c>
      <c r="L400" s="283"/>
      <c r="M400" s="319">
        <v>0</v>
      </c>
      <c r="N400" s="297">
        <f>K400*M400/1000</f>
        <v>0</v>
      </c>
    </row>
    <row r="401" spans="10:14" ht="15.75" x14ac:dyDescent="0.25">
      <c r="J401" s="325" t="s">
        <v>57</v>
      </c>
      <c r="K401" s="289">
        <v>19740464.17723868</v>
      </c>
      <c r="L401" s="283"/>
      <c r="M401" s="319">
        <v>0</v>
      </c>
      <c r="N401" s="297">
        <f>K401*M401/1000</f>
        <v>0</v>
      </c>
    </row>
    <row r="402" spans="10:14" ht="15.75" x14ac:dyDescent="0.25">
      <c r="J402" s="325" t="s">
        <v>58</v>
      </c>
      <c r="K402" s="289">
        <v>158106013.98004219</v>
      </c>
      <c r="L402" s="283"/>
      <c r="M402" s="319">
        <v>0</v>
      </c>
      <c r="N402" s="297">
        <f>K402*M402/1000</f>
        <v>0</v>
      </c>
    </row>
    <row r="403" spans="10:14" ht="15.75" x14ac:dyDescent="0.25">
      <c r="J403" s="325" t="s">
        <v>239</v>
      </c>
      <c r="K403" s="289"/>
      <c r="L403" s="283"/>
      <c r="M403" s="319"/>
      <c r="N403" s="259"/>
    </row>
    <row r="404" spans="10:14" ht="15.75" x14ac:dyDescent="0.25">
      <c r="J404" s="325" t="s">
        <v>56</v>
      </c>
      <c r="K404" s="289">
        <v>9763340.4063066542</v>
      </c>
      <c r="L404" s="283"/>
      <c r="M404" s="319">
        <v>0</v>
      </c>
      <c r="N404" s="297">
        <f>K404*M404/1000</f>
        <v>0</v>
      </c>
    </row>
    <row r="405" spans="10:14" ht="15.75" x14ac:dyDescent="0.25">
      <c r="J405" s="325" t="s">
        <v>57</v>
      </c>
      <c r="K405" s="289">
        <v>16313952.658805968</v>
      </c>
      <c r="L405" s="283"/>
      <c r="M405" s="319">
        <v>0</v>
      </c>
      <c r="N405" s="297">
        <f>K405*M405/1000</f>
        <v>0</v>
      </c>
    </row>
    <row r="406" spans="10:14" ht="15.75" x14ac:dyDescent="0.25">
      <c r="J406" s="325" t="s">
        <v>58</v>
      </c>
      <c r="K406" s="289">
        <v>146146981.96987236</v>
      </c>
      <c r="L406" s="283"/>
      <c r="M406" s="319">
        <v>0</v>
      </c>
      <c r="N406" s="297">
        <f>K406*M406/1000</f>
        <v>0</v>
      </c>
    </row>
    <row r="407" spans="10:14" ht="15.75" x14ac:dyDescent="0.25">
      <c r="J407" s="325" t="s">
        <v>2</v>
      </c>
      <c r="K407" s="16"/>
      <c r="L407" s="283"/>
      <c r="M407" s="276"/>
      <c r="N407" s="259"/>
    </row>
    <row r="408" spans="10:14" ht="15.75" x14ac:dyDescent="0.25">
      <c r="J408" s="325"/>
      <c r="K408" s="16"/>
      <c r="L408" s="283"/>
      <c r="M408" s="276"/>
      <c r="N408" s="259"/>
    </row>
    <row r="409" spans="10:14" ht="15.75" x14ac:dyDescent="0.25">
      <c r="J409" s="325" t="s">
        <v>93</v>
      </c>
      <c r="K409" s="6"/>
      <c r="L409" s="283"/>
      <c r="M409" s="276"/>
      <c r="N409" s="259"/>
    </row>
    <row r="410" spans="10:14" ht="15.75" x14ac:dyDescent="0.25">
      <c r="J410" s="325" t="s">
        <v>54</v>
      </c>
      <c r="K410" s="6"/>
      <c r="L410" s="283"/>
      <c r="M410" s="276"/>
      <c r="N410" s="259"/>
    </row>
    <row r="411" spans="10:14" ht="15.75" x14ac:dyDescent="0.25">
      <c r="J411" s="325" t="s">
        <v>56</v>
      </c>
      <c r="K411" s="289">
        <v>4165335.4957887209</v>
      </c>
      <c r="L411" s="283"/>
      <c r="M411" s="319">
        <v>-1.719E-2</v>
      </c>
      <c r="N411" s="297">
        <f>K411*M411/1000</f>
        <v>-71.602117172608104</v>
      </c>
    </row>
    <row r="412" spans="10:14" ht="15.75" x14ac:dyDescent="0.25">
      <c r="J412" s="325" t="s">
        <v>57</v>
      </c>
      <c r="K412" s="289">
        <v>6976880.8567989077</v>
      </c>
      <c r="L412" s="283"/>
      <c r="M412" s="319">
        <v>-1.719E-2</v>
      </c>
      <c r="N412" s="297">
        <f>K412*M412/1000</f>
        <v>-119.93258192837322</v>
      </c>
    </row>
    <row r="413" spans="10:14" ht="15.75" x14ac:dyDescent="0.25">
      <c r="J413" s="325" t="s">
        <v>58</v>
      </c>
      <c r="K413" s="289">
        <v>59306004.618581809</v>
      </c>
      <c r="L413" s="283"/>
      <c r="M413" s="319">
        <v>-1.719E-2</v>
      </c>
      <c r="N413" s="297">
        <f>K413*M413/1000</f>
        <v>-1019.4702193934213</v>
      </c>
    </row>
    <row r="414" spans="10:14" ht="15.75" x14ac:dyDescent="0.25">
      <c r="J414" s="325" t="s">
        <v>214</v>
      </c>
      <c r="K414" s="6"/>
      <c r="L414" s="283"/>
      <c r="M414" s="276"/>
      <c r="N414" s="259"/>
    </row>
    <row r="415" spans="10:14" ht="15.75" x14ac:dyDescent="0.25">
      <c r="J415" s="325" t="s">
        <v>56</v>
      </c>
      <c r="K415" s="289">
        <v>11956254.720378915</v>
      </c>
      <c r="L415" s="283"/>
      <c r="M415" s="319">
        <v>-1.719E-2</v>
      </c>
      <c r="N415" s="297">
        <f>K415*M415/1000</f>
        <v>-205.52801864331354</v>
      </c>
    </row>
    <row r="416" spans="10:14" ht="15.75" x14ac:dyDescent="0.25">
      <c r="J416" s="325" t="s">
        <v>57</v>
      </c>
      <c r="K416" s="289">
        <v>16446042.393101709</v>
      </c>
      <c r="L416" s="283"/>
      <c r="M416" s="319">
        <v>-1.719E-2</v>
      </c>
      <c r="N416" s="297">
        <f>K416*M416/1000</f>
        <v>-282.70746873741837</v>
      </c>
    </row>
    <row r="417" spans="10:14" ht="15.75" x14ac:dyDescent="0.25">
      <c r="J417" s="325" t="s">
        <v>58</v>
      </c>
      <c r="K417" s="289">
        <v>131447517.86628538</v>
      </c>
      <c r="L417" s="283"/>
      <c r="M417" s="319">
        <v>-1.719E-2</v>
      </c>
      <c r="N417" s="297">
        <f>K417*M417/1000</f>
        <v>-2259.5828321214458</v>
      </c>
    </row>
    <row r="418" spans="10:14" ht="15.75" x14ac:dyDescent="0.25">
      <c r="J418" s="325" t="s">
        <v>216</v>
      </c>
      <c r="K418" s="6"/>
      <c r="L418" s="283"/>
      <c r="M418" s="276"/>
      <c r="N418" s="259"/>
    </row>
    <row r="419" spans="10:14" ht="15.75" x14ac:dyDescent="0.25">
      <c r="J419" s="325" t="s">
        <v>56</v>
      </c>
      <c r="K419" s="289">
        <v>5938225.9421842787</v>
      </c>
      <c r="L419" s="283"/>
      <c r="M419" s="319">
        <v>-1.719E-2</v>
      </c>
      <c r="N419" s="297">
        <f>K419*M419/1000</f>
        <v>-102.07810394614775</v>
      </c>
    </row>
    <row r="420" spans="10:14" ht="15.75" x14ac:dyDescent="0.25">
      <c r="J420" s="325" t="s">
        <v>57</v>
      </c>
      <c r="K420" s="289">
        <v>10571845.903698158</v>
      </c>
      <c r="L420" s="283"/>
      <c r="M420" s="319">
        <v>-1.719E-2</v>
      </c>
      <c r="N420" s="297">
        <f>K420*M420/1000</f>
        <v>-181.73003108457132</v>
      </c>
    </row>
    <row r="421" spans="10:14" ht="15.75" x14ac:dyDescent="0.25">
      <c r="J421" s="325" t="s">
        <v>58</v>
      </c>
      <c r="K421" s="289">
        <v>95350867.203182146</v>
      </c>
      <c r="L421" s="283"/>
      <c r="M421" s="319">
        <v>-1.719E-2</v>
      </c>
      <c r="N421" s="297">
        <f>K421*M421/1000</f>
        <v>-1639.0814072227013</v>
      </c>
    </row>
    <row r="422" spans="10:14" ht="15.75" x14ac:dyDescent="0.25">
      <c r="J422" s="325" t="s">
        <v>55</v>
      </c>
      <c r="K422" s="6"/>
      <c r="L422" s="283"/>
      <c r="M422" s="276"/>
      <c r="N422" s="259"/>
    </row>
    <row r="423" spans="10:14" ht="15.75" x14ac:dyDescent="0.25">
      <c r="J423" s="325" t="s">
        <v>56</v>
      </c>
      <c r="K423" s="289">
        <v>5518780.3154946594</v>
      </c>
      <c r="L423" s="283"/>
      <c r="M423" s="319">
        <v>-1.719E-2</v>
      </c>
      <c r="N423" s="297">
        <f>K423*M423/1000</f>
        <v>-94.867833623353206</v>
      </c>
    </row>
    <row r="424" spans="10:14" ht="15.75" x14ac:dyDescent="0.25">
      <c r="J424" s="325" t="s">
        <v>57</v>
      </c>
      <c r="K424" s="289">
        <v>9528527.4382747225</v>
      </c>
      <c r="L424" s="283"/>
      <c r="M424" s="319">
        <v>-1.719E-2</v>
      </c>
      <c r="N424" s="297">
        <f>K424*M424/1000</f>
        <v>-163.79538666394248</v>
      </c>
    </row>
    <row r="425" spans="10:14" ht="15.75" x14ac:dyDescent="0.25">
      <c r="J425" s="325" t="s">
        <v>58</v>
      </c>
      <c r="K425" s="289">
        <v>79378979.689134613</v>
      </c>
      <c r="L425" s="283"/>
      <c r="M425" s="319">
        <v>-1.719E-2</v>
      </c>
      <c r="N425" s="297">
        <f>K425*M425/1000</f>
        <v>-1364.524660856224</v>
      </c>
    </row>
    <row r="426" spans="10:14" ht="15.75" x14ac:dyDescent="0.25">
      <c r="J426" s="325" t="s">
        <v>227</v>
      </c>
      <c r="K426" s="289"/>
      <c r="L426" s="283"/>
      <c r="M426" s="276"/>
      <c r="N426" s="259"/>
    </row>
    <row r="427" spans="10:14" ht="15.75" x14ac:dyDescent="0.25">
      <c r="J427" s="325" t="s">
        <v>56</v>
      </c>
      <c r="K427" s="289">
        <v>14297470.364830174</v>
      </c>
      <c r="L427" s="283"/>
      <c r="M427" s="319">
        <v>-1.719E-2</v>
      </c>
      <c r="N427" s="297">
        <f>K427*M427/1000</f>
        <v>-245.77351557143069</v>
      </c>
    </row>
    <row r="428" spans="10:14" ht="15.75" x14ac:dyDescent="0.25">
      <c r="J428" s="325" t="s">
        <v>57</v>
      </c>
      <c r="K428" s="289">
        <v>19740464.17723868</v>
      </c>
      <c r="L428" s="283"/>
      <c r="M428" s="319">
        <v>-1.719E-2</v>
      </c>
      <c r="N428" s="297">
        <f>K428*M428/1000</f>
        <v>-339.3385792067329</v>
      </c>
    </row>
    <row r="429" spans="10:14" ht="15.75" x14ac:dyDescent="0.25">
      <c r="J429" s="325" t="s">
        <v>58</v>
      </c>
      <c r="K429" s="289">
        <v>158106013.98004219</v>
      </c>
      <c r="L429" s="283"/>
      <c r="M429" s="319">
        <v>-1.719E-2</v>
      </c>
      <c r="N429" s="297">
        <f>K429*M429/1000</f>
        <v>-2717.8423803169253</v>
      </c>
    </row>
    <row r="430" spans="10:14" ht="15.75" x14ac:dyDescent="0.25">
      <c r="J430" s="325" t="s">
        <v>239</v>
      </c>
      <c r="K430" s="289"/>
      <c r="L430" s="283"/>
      <c r="M430" s="276"/>
      <c r="N430" s="259"/>
    </row>
    <row r="431" spans="10:14" ht="15.75" x14ac:dyDescent="0.25">
      <c r="J431" s="325" t="s">
        <v>56</v>
      </c>
      <c r="K431" s="289">
        <v>9763340.4063066542</v>
      </c>
      <c r="L431" s="283"/>
      <c r="M431" s="319">
        <v>-1.719E-2</v>
      </c>
      <c r="N431" s="297">
        <f>K431*M431/1000</f>
        <v>-167.83182158441141</v>
      </c>
    </row>
    <row r="432" spans="10:14" ht="15.75" x14ac:dyDescent="0.25">
      <c r="J432" s="325" t="s">
        <v>57</v>
      </c>
      <c r="K432" s="289">
        <v>16313952.658805968</v>
      </c>
      <c r="L432" s="283"/>
      <c r="M432" s="319">
        <v>-1.719E-2</v>
      </c>
      <c r="N432" s="297">
        <f>K432*M432/1000</f>
        <v>-280.43684620487466</v>
      </c>
    </row>
    <row r="433" spans="10:14" ht="15.75" x14ac:dyDescent="0.25">
      <c r="J433" s="325" t="s">
        <v>58</v>
      </c>
      <c r="K433" s="289">
        <v>146146981.96987236</v>
      </c>
      <c r="L433" s="283"/>
      <c r="M433" s="319">
        <v>-1.719E-2</v>
      </c>
      <c r="N433" s="297">
        <f>K433*M433/1000</f>
        <v>-2512.2666200621056</v>
      </c>
    </row>
    <row r="434" spans="10:14" ht="15.75" x14ac:dyDescent="0.25">
      <c r="J434" s="325" t="s">
        <v>2</v>
      </c>
      <c r="K434" s="16"/>
      <c r="L434" s="283"/>
      <c r="M434" s="276"/>
      <c r="N434" s="259"/>
    </row>
    <row r="435" spans="10:14" ht="15.75" x14ac:dyDescent="0.25">
      <c r="J435" s="325"/>
      <c r="K435" s="16"/>
      <c r="L435" s="283"/>
      <c r="M435" s="276"/>
      <c r="N435" s="259"/>
    </row>
    <row r="436" spans="10:14" ht="15.75" x14ac:dyDescent="0.25">
      <c r="J436" s="325" t="s">
        <v>94</v>
      </c>
      <c r="K436" s="6"/>
      <c r="L436" s="283"/>
      <c r="M436" s="276"/>
      <c r="N436" s="259"/>
    </row>
    <row r="437" spans="10:14" ht="15.75" x14ac:dyDescent="0.25">
      <c r="J437" s="325" t="s">
        <v>54</v>
      </c>
      <c r="K437" s="6"/>
      <c r="L437" s="283"/>
      <c r="M437" s="276"/>
      <c r="N437" s="259"/>
    </row>
    <row r="438" spans="10:14" ht="15.75" x14ac:dyDescent="0.25">
      <c r="J438" s="325" t="s">
        <v>56</v>
      </c>
      <c r="K438" s="289">
        <v>4165335.4957887209</v>
      </c>
      <c r="L438" s="283"/>
      <c r="M438" s="272">
        <f>0.01286+0.00006+0+0.0088+0.00004</f>
        <v>2.1759999999999998E-2</v>
      </c>
      <c r="N438" s="297">
        <f>K438*M438/1000</f>
        <v>90.63770038836256</v>
      </c>
    </row>
    <row r="439" spans="10:14" ht="15.75" x14ac:dyDescent="0.25">
      <c r="J439" s="325" t="s">
        <v>57</v>
      </c>
      <c r="K439" s="289">
        <v>6976880.8567989077</v>
      </c>
      <c r="L439" s="283"/>
      <c r="M439" s="272">
        <f t="shared" ref="M439:M440" si="5">0.01286+0.00006+0+0.0088+0.00004</f>
        <v>2.1759999999999998E-2</v>
      </c>
      <c r="N439" s="297">
        <f t="shared" ref="N439:N440" si="6">K439*M439/1000</f>
        <v>151.81692744394419</v>
      </c>
    </row>
    <row r="440" spans="10:14" ht="15.75" x14ac:dyDescent="0.25">
      <c r="J440" s="325" t="s">
        <v>58</v>
      </c>
      <c r="K440" s="289">
        <v>59306004.618581809</v>
      </c>
      <c r="L440" s="283"/>
      <c r="M440" s="272">
        <f t="shared" si="5"/>
        <v>2.1759999999999998E-2</v>
      </c>
      <c r="N440" s="297">
        <f t="shared" si="6"/>
        <v>1290.4986605003401</v>
      </c>
    </row>
    <row r="441" spans="10:14" ht="15.75" x14ac:dyDescent="0.25">
      <c r="J441" s="325" t="s">
        <v>214</v>
      </c>
      <c r="K441" s="6"/>
      <c r="L441" s="283"/>
      <c r="M441" s="276"/>
      <c r="N441" s="259"/>
    </row>
    <row r="442" spans="10:14" ht="15.75" x14ac:dyDescent="0.25">
      <c r="J442" s="325" t="s">
        <v>56</v>
      </c>
      <c r="K442" s="289">
        <v>11956254.720378915</v>
      </c>
      <c r="L442" s="283"/>
      <c r="M442" s="272">
        <f>0.01286+0.00006+0+0.0088+0.00004</f>
        <v>2.1759999999999998E-2</v>
      </c>
      <c r="N442" s="297">
        <f>K442*M442/1000</f>
        <v>260.16810271544517</v>
      </c>
    </row>
    <row r="443" spans="10:14" ht="15.75" x14ac:dyDescent="0.25">
      <c r="J443" s="325" t="s">
        <v>57</v>
      </c>
      <c r="K443" s="289">
        <v>16446042.393101709</v>
      </c>
      <c r="L443" s="283"/>
      <c r="M443" s="272">
        <f t="shared" ref="M443:M444" si="7">0.01286+0.00006+0+0.0088+0.00004</f>
        <v>2.1759999999999998E-2</v>
      </c>
      <c r="N443" s="297">
        <f t="shared" ref="N443:N444" si="8">K443*M443/1000</f>
        <v>357.86588247389318</v>
      </c>
    </row>
    <row r="444" spans="10:14" ht="15.75" x14ac:dyDescent="0.25">
      <c r="J444" s="325" t="s">
        <v>58</v>
      </c>
      <c r="K444" s="289">
        <v>131447517.86628538</v>
      </c>
      <c r="L444" s="283"/>
      <c r="M444" s="272">
        <f t="shared" si="7"/>
        <v>2.1759999999999998E-2</v>
      </c>
      <c r="N444" s="297">
        <f t="shared" si="8"/>
        <v>2860.29798877037</v>
      </c>
    </row>
    <row r="445" spans="10:14" ht="15.75" x14ac:dyDescent="0.25">
      <c r="J445" s="325" t="s">
        <v>216</v>
      </c>
      <c r="K445" s="6"/>
      <c r="L445" s="283"/>
      <c r="M445" s="276"/>
      <c r="N445" s="259"/>
    </row>
    <row r="446" spans="10:14" ht="15.75" x14ac:dyDescent="0.25">
      <c r="J446" s="325" t="s">
        <v>56</v>
      </c>
      <c r="K446" s="289">
        <v>5938225.9421842787</v>
      </c>
      <c r="L446" s="283"/>
      <c r="M446" s="272">
        <f>0.01286+0.00006+0+0.0088+0.00004</f>
        <v>2.1759999999999998E-2</v>
      </c>
      <c r="N446" s="297">
        <f>K446*M446/1000</f>
        <v>129.2157965019299</v>
      </c>
    </row>
    <row r="447" spans="10:14" ht="15.75" x14ac:dyDescent="0.25">
      <c r="J447" s="325" t="s">
        <v>57</v>
      </c>
      <c r="K447" s="289">
        <v>10571845.903698158</v>
      </c>
      <c r="L447" s="283"/>
      <c r="M447" s="272">
        <f t="shared" ref="M447:M448" si="9">0.01286+0.00006+0+0.0088+0.00004</f>
        <v>2.1759999999999998E-2</v>
      </c>
      <c r="N447" s="297">
        <f t="shared" ref="N447:N448" si="10">K447*M447/1000</f>
        <v>230.04336686447189</v>
      </c>
    </row>
    <row r="448" spans="10:14" ht="15.75" x14ac:dyDescent="0.25">
      <c r="J448" s="325" t="s">
        <v>58</v>
      </c>
      <c r="K448" s="289">
        <v>95350867.203182146</v>
      </c>
      <c r="L448" s="283"/>
      <c r="M448" s="272">
        <f t="shared" si="9"/>
        <v>2.1759999999999998E-2</v>
      </c>
      <c r="N448" s="297">
        <f t="shared" si="10"/>
        <v>2074.834870341243</v>
      </c>
    </row>
    <row r="449" spans="10:14" ht="15.75" x14ac:dyDescent="0.25">
      <c r="J449" s="325" t="s">
        <v>55</v>
      </c>
      <c r="K449" s="6"/>
      <c r="L449" s="283"/>
      <c r="M449" s="276"/>
      <c r="N449" s="259"/>
    </row>
    <row r="450" spans="10:14" ht="15.75" x14ac:dyDescent="0.25">
      <c r="J450" s="325" t="s">
        <v>56</v>
      </c>
      <c r="K450" s="289">
        <v>5518780.3154946594</v>
      </c>
      <c r="L450" s="283"/>
      <c r="M450" s="272">
        <f>0.01286+0.00006+0+0.0088+0.00004</f>
        <v>2.1759999999999998E-2</v>
      </c>
      <c r="N450" s="297">
        <f>K450*M450/1000</f>
        <v>120.08865966516377</v>
      </c>
    </row>
    <row r="451" spans="10:14" ht="15.75" x14ac:dyDescent="0.25">
      <c r="J451" s="325" t="s">
        <v>57</v>
      </c>
      <c r="K451" s="289">
        <v>9528527.4382747225</v>
      </c>
      <c r="L451" s="283"/>
      <c r="M451" s="272">
        <f t="shared" ref="M451:M452" si="11">0.01286+0.00006+0+0.0088+0.00004</f>
        <v>2.1759999999999998E-2</v>
      </c>
      <c r="N451" s="297">
        <f t="shared" ref="N451:N452" si="12">K451*M451/1000</f>
        <v>207.34075705685797</v>
      </c>
    </row>
    <row r="452" spans="10:14" ht="15.75" x14ac:dyDescent="0.25">
      <c r="J452" s="325" t="s">
        <v>58</v>
      </c>
      <c r="K452" s="289">
        <v>79378979.689134613</v>
      </c>
      <c r="L452" s="283"/>
      <c r="M452" s="272">
        <f t="shared" si="11"/>
        <v>2.1759999999999998E-2</v>
      </c>
      <c r="N452" s="297">
        <f t="shared" si="12"/>
        <v>1727.2865980355691</v>
      </c>
    </row>
    <row r="453" spans="10:14" ht="15.75" x14ac:dyDescent="0.25">
      <c r="J453" s="325" t="s">
        <v>240</v>
      </c>
      <c r="K453" s="289"/>
      <c r="L453" s="283"/>
      <c r="M453" s="276"/>
      <c r="N453" s="259"/>
    </row>
    <row r="454" spans="10:14" ht="15.75" x14ac:dyDescent="0.25">
      <c r="J454" s="325" t="s">
        <v>56</v>
      </c>
      <c r="K454" s="289">
        <v>14297470.364830174</v>
      </c>
      <c r="L454" s="283"/>
      <c r="M454" s="272">
        <f>0.01286+0.00006+0+0.0088+0.00004</f>
        <v>2.1759999999999998E-2</v>
      </c>
      <c r="N454" s="297">
        <f>K454*M454/1000</f>
        <v>311.11295513870459</v>
      </c>
    </row>
    <row r="455" spans="10:14" ht="15.75" x14ac:dyDescent="0.25">
      <c r="J455" s="325" t="s">
        <v>57</v>
      </c>
      <c r="K455" s="289">
        <v>19740464.17723868</v>
      </c>
      <c r="L455" s="283"/>
      <c r="M455" s="272">
        <f t="shared" ref="M455:M456" si="13">0.01286+0.00006+0+0.0088+0.00004</f>
        <v>2.1759999999999998E-2</v>
      </c>
      <c r="N455" s="297">
        <f t="shared" ref="N455:N456" si="14">K455*M455/1000</f>
        <v>429.55250049671366</v>
      </c>
    </row>
    <row r="456" spans="10:14" ht="15.75" x14ac:dyDescent="0.25">
      <c r="J456" s="325" t="s">
        <v>58</v>
      </c>
      <c r="K456" s="289">
        <v>158106013.98004219</v>
      </c>
      <c r="L456" s="283"/>
      <c r="M456" s="272">
        <f t="shared" si="13"/>
        <v>2.1759999999999998E-2</v>
      </c>
      <c r="N456" s="297">
        <f t="shared" si="14"/>
        <v>3440.3868642057178</v>
      </c>
    </row>
    <row r="457" spans="10:14" ht="15.75" x14ac:dyDescent="0.25">
      <c r="J457" s="325" t="s">
        <v>226</v>
      </c>
      <c r="K457" s="289"/>
      <c r="L457" s="283"/>
      <c r="M457" s="276"/>
      <c r="N457" s="259"/>
    </row>
    <row r="458" spans="10:14" ht="15.75" x14ac:dyDescent="0.25">
      <c r="J458" s="325" t="s">
        <v>56</v>
      </c>
      <c r="K458" s="289">
        <v>9763340.4063066542</v>
      </c>
      <c r="L458" s="283"/>
      <c r="M458" s="272">
        <f>0.01286+0.00006+0+0.0088+0.00004</f>
        <v>2.1759999999999998E-2</v>
      </c>
      <c r="N458" s="297">
        <f>K458*M458/1000</f>
        <v>212.45028724123279</v>
      </c>
    </row>
    <row r="459" spans="10:14" ht="15.75" x14ac:dyDescent="0.25">
      <c r="J459" s="325" t="s">
        <v>57</v>
      </c>
      <c r="K459" s="289">
        <v>16313952.658805968</v>
      </c>
      <c r="L459" s="283"/>
      <c r="M459" s="272">
        <f t="shared" ref="M459:M460" si="15">0.01286+0.00006+0+0.0088+0.00004</f>
        <v>2.1759999999999998E-2</v>
      </c>
      <c r="N459" s="297">
        <f t="shared" ref="N459:N460" si="16">K459*M459/1000</f>
        <v>354.99160985561787</v>
      </c>
    </row>
    <row r="460" spans="10:14" ht="15.75" x14ac:dyDescent="0.25">
      <c r="J460" s="325" t="s">
        <v>58</v>
      </c>
      <c r="K460" s="289">
        <v>146146981.96987236</v>
      </c>
      <c r="L460" s="283"/>
      <c r="M460" s="272">
        <f t="shared" si="15"/>
        <v>2.1759999999999998E-2</v>
      </c>
      <c r="N460" s="297">
        <f t="shared" si="16"/>
        <v>3180.1583276644224</v>
      </c>
    </row>
    <row r="461" spans="10:14" ht="15.75" x14ac:dyDescent="0.25">
      <c r="J461" s="325" t="s">
        <v>2</v>
      </c>
      <c r="K461" s="16"/>
      <c r="L461" s="283"/>
      <c r="M461" s="276"/>
      <c r="N461" s="259"/>
    </row>
    <row r="462" spans="10:14" ht="15.75" x14ac:dyDescent="0.25">
      <c r="J462" s="258"/>
      <c r="K462" s="320"/>
      <c r="L462" s="283"/>
      <c r="M462" s="276"/>
      <c r="N462" s="259"/>
    </row>
    <row r="463" spans="10:14" ht="15" x14ac:dyDescent="0.2">
      <c r="J463" s="321"/>
      <c r="K463" s="283"/>
      <c r="L463" s="283"/>
      <c r="M463" s="283"/>
      <c r="N463" s="322"/>
    </row>
    <row r="464" spans="10:14" ht="15.75" x14ac:dyDescent="0.25">
      <c r="J464" s="257" t="s">
        <v>233</v>
      </c>
      <c r="K464" s="120"/>
      <c r="L464" s="120"/>
      <c r="M464" s="120"/>
      <c r="N464" s="232"/>
    </row>
    <row r="465" spans="10:14" ht="15.75" x14ac:dyDescent="0.25">
      <c r="J465" s="258" t="s">
        <v>184</v>
      </c>
      <c r="K465" s="120"/>
      <c r="L465" s="120"/>
      <c r="M465" s="120"/>
      <c r="N465" s="232"/>
    </row>
    <row r="466" spans="10:14" ht="15.75" x14ac:dyDescent="0.25">
      <c r="J466" s="258" t="s">
        <v>21</v>
      </c>
      <c r="K466" s="243"/>
      <c r="L466" s="243"/>
      <c r="M466" s="6"/>
      <c r="N466" s="259"/>
    </row>
    <row r="467" spans="10:14" ht="15.75" x14ac:dyDescent="0.25">
      <c r="J467" s="258" t="s">
        <v>41</v>
      </c>
      <c r="K467" s="6"/>
      <c r="L467" s="262"/>
      <c r="M467" s="16"/>
      <c r="N467" s="259"/>
    </row>
    <row r="468" spans="10:14" ht="15.75" x14ac:dyDescent="0.25">
      <c r="J468" s="258" t="s">
        <v>30</v>
      </c>
      <c r="K468" s="6"/>
      <c r="L468" s="262"/>
      <c r="M468" s="16"/>
      <c r="N468" s="259"/>
    </row>
    <row r="469" spans="10:14" ht="15.75" x14ac:dyDescent="0.25">
      <c r="J469" s="258" t="s">
        <v>31</v>
      </c>
      <c r="K469" s="18"/>
      <c r="L469" s="264"/>
      <c r="M469" s="265"/>
      <c r="N469" s="267"/>
    </row>
    <row r="470" spans="10:14" ht="15.75" x14ac:dyDescent="0.25">
      <c r="J470" s="258" t="s">
        <v>42</v>
      </c>
      <c r="K470" s="6"/>
      <c r="L470" s="112"/>
      <c r="M470" s="16"/>
      <c r="N470" s="259"/>
    </row>
    <row r="471" spans="10:14" ht="15.75" x14ac:dyDescent="0.25">
      <c r="J471" s="258"/>
      <c r="K471" s="6"/>
      <c r="L471" s="112"/>
      <c r="M471" s="16"/>
      <c r="N471" s="259"/>
    </row>
    <row r="472" spans="10:14" ht="15.75" x14ac:dyDescent="0.25">
      <c r="J472" s="258" t="s">
        <v>22</v>
      </c>
      <c r="K472" s="6"/>
      <c r="L472" s="112"/>
      <c r="M472" s="16"/>
      <c r="N472" s="259"/>
    </row>
    <row r="473" spans="10:14" ht="15.75" x14ac:dyDescent="0.25">
      <c r="J473" s="258" t="s">
        <v>41</v>
      </c>
      <c r="K473" s="6"/>
      <c r="L473" s="112"/>
      <c r="M473" s="16"/>
      <c r="N473" s="259"/>
    </row>
    <row r="474" spans="10:14" ht="15.75" x14ac:dyDescent="0.25">
      <c r="J474" s="258" t="s">
        <v>30</v>
      </c>
      <c r="K474" s="6">
        <v>62.043290043290028</v>
      </c>
      <c r="L474" s="112">
        <v>85.125079791627243</v>
      </c>
      <c r="M474" s="16">
        <f>L474*$C$146</f>
        <v>187.565793834743</v>
      </c>
      <c r="N474" s="259">
        <f>M474*K474/1000</f>
        <v>11.637198949088901</v>
      </c>
    </row>
    <row r="475" spans="10:14" ht="15.75" x14ac:dyDescent="0.25">
      <c r="J475" s="258" t="s">
        <v>31</v>
      </c>
      <c r="K475" s="18"/>
      <c r="L475" s="113"/>
      <c r="M475" s="17"/>
      <c r="N475" s="267"/>
    </row>
    <row r="476" spans="10:14" ht="15.75" x14ac:dyDescent="0.25">
      <c r="J476" s="258" t="s">
        <v>43</v>
      </c>
      <c r="K476" s="6">
        <f>SUM(K473:K475)</f>
        <v>62.043290043290028</v>
      </c>
      <c r="L476" s="112">
        <f>(L473*K473+L474*K474)/K476</f>
        <v>85.125079791627243</v>
      </c>
      <c r="M476" s="16">
        <f>L476*$C$146</f>
        <v>187.565793834743</v>
      </c>
      <c r="N476" s="259">
        <f>M476*K476/1000</f>
        <v>11.637198949088901</v>
      </c>
    </row>
    <row r="477" spans="10:14" ht="15.75" x14ac:dyDescent="0.25">
      <c r="J477" s="258"/>
      <c r="K477" s="6"/>
      <c r="L477" s="112"/>
      <c r="M477" s="16"/>
      <c r="N477" s="259"/>
    </row>
    <row r="478" spans="10:14" ht="15.75" x14ac:dyDescent="0.25">
      <c r="J478" s="258" t="s">
        <v>24</v>
      </c>
      <c r="K478" s="6"/>
      <c r="L478" s="112"/>
      <c r="M478" s="16"/>
      <c r="N478" s="259"/>
    </row>
    <row r="479" spans="10:14" ht="15.75" x14ac:dyDescent="0.25">
      <c r="J479" s="258" t="s">
        <v>41</v>
      </c>
      <c r="K479" s="6"/>
      <c r="L479" s="112"/>
      <c r="M479" s="16"/>
      <c r="N479" s="259"/>
    </row>
    <row r="480" spans="10:14" ht="15.75" x14ac:dyDescent="0.25">
      <c r="J480" s="258" t="s">
        <v>30</v>
      </c>
      <c r="K480" s="6">
        <v>20.658008658008644</v>
      </c>
      <c r="L480" s="112">
        <v>687.86268093758179</v>
      </c>
      <c r="M480" s="16">
        <f>L480*$C$146</f>
        <v>1515.6462715238738</v>
      </c>
      <c r="N480" s="259">
        <f>M480*K480/1000</f>
        <v>31.310233799618704</v>
      </c>
    </row>
    <row r="481" spans="10:14" ht="15.75" x14ac:dyDescent="0.25">
      <c r="J481" s="258" t="s">
        <v>31</v>
      </c>
      <c r="K481" s="18">
        <v>13.298701298701296</v>
      </c>
      <c r="L481" s="113">
        <v>1125.5237772677856</v>
      </c>
      <c r="M481" s="17">
        <f>L481*$C$146</f>
        <v>2479.9948649666358</v>
      </c>
      <c r="N481" s="267">
        <f>M481*K481/1000</f>
        <v>32.980710931504341</v>
      </c>
    </row>
    <row r="482" spans="10:14" ht="15.75" x14ac:dyDescent="0.25">
      <c r="J482" s="258" t="s">
        <v>44</v>
      </c>
      <c r="K482" s="6">
        <f>SUM(K479:K481)</f>
        <v>33.956709956709943</v>
      </c>
      <c r="L482" s="112">
        <f>(L480*K480+L481*K481)/K482</f>
        <v>859.26692468138424</v>
      </c>
      <c r="M482" s="16">
        <f>L482*$C$146</f>
        <v>1893.3207844071176</v>
      </c>
      <c r="N482" s="259">
        <f>M482*K482/1000</f>
        <v>64.290944731123048</v>
      </c>
    </row>
    <row r="483" spans="10:14" x14ac:dyDescent="0.2">
      <c r="J483" s="231"/>
      <c r="K483" s="120"/>
      <c r="L483" s="120"/>
      <c r="M483" s="120"/>
      <c r="N483" s="232"/>
    </row>
    <row r="484" spans="10:14" ht="15.75" x14ac:dyDescent="0.25">
      <c r="J484" s="258" t="s">
        <v>186</v>
      </c>
      <c r="K484" s="120"/>
      <c r="L484" s="120"/>
      <c r="M484" s="120"/>
      <c r="N484" s="232"/>
    </row>
    <row r="485" spans="10:14" ht="15.75" x14ac:dyDescent="0.25">
      <c r="J485" s="258" t="s">
        <v>21</v>
      </c>
      <c r="K485" s="279"/>
      <c r="L485" s="262"/>
      <c r="M485" s="16"/>
      <c r="N485" s="259"/>
    </row>
    <row r="486" spans="10:14" ht="15.75" x14ac:dyDescent="0.25">
      <c r="J486" s="258" t="s">
        <v>22</v>
      </c>
      <c r="K486" s="279">
        <v>45510.377768314924</v>
      </c>
      <c r="L486" s="262">
        <f>D59</f>
        <v>1.1400127368858917</v>
      </c>
      <c r="M486" s="16">
        <f>L486*$C$146</f>
        <v>2.5119200416508978</v>
      </c>
      <c r="N486" s="259">
        <f>M486*K486/1000</f>
        <v>114.31843001933372</v>
      </c>
    </row>
    <row r="487" spans="10:14" ht="15.75" x14ac:dyDescent="0.25">
      <c r="J487" s="258" t="s">
        <v>24</v>
      </c>
      <c r="K487" s="280"/>
      <c r="L487" s="264"/>
      <c r="M487" s="17"/>
      <c r="N487" s="267"/>
    </row>
    <row r="488" spans="10:14" ht="15.75" x14ac:dyDescent="0.25">
      <c r="J488" s="258" t="s">
        <v>2</v>
      </c>
      <c r="K488" s="279">
        <f>SUM(K485:K487)</f>
        <v>45510.377768314924</v>
      </c>
      <c r="L488" s="262">
        <f>L486</f>
        <v>1.1400127368858917</v>
      </c>
      <c r="M488" s="16">
        <f>L488*$C$146</f>
        <v>2.5119200416508978</v>
      </c>
      <c r="N488" s="259">
        <f>M488*K488/1000</f>
        <v>114.31843001933372</v>
      </c>
    </row>
    <row r="489" spans="10:14" ht="15.75" x14ac:dyDescent="0.25">
      <c r="J489" s="281"/>
      <c r="K489" s="229"/>
      <c r="L489" s="262"/>
      <c r="M489" s="6"/>
      <c r="N489" s="282"/>
    </row>
    <row r="490" spans="10:14" ht="15.75" x14ac:dyDescent="0.25">
      <c r="J490" s="258" t="s">
        <v>187</v>
      </c>
      <c r="K490" s="229"/>
      <c r="L490" s="262"/>
      <c r="M490" s="6"/>
      <c r="N490" s="282"/>
    </row>
    <row r="491" spans="10:14" ht="15.75" x14ac:dyDescent="0.25">
      <c r="J491" s="258" t="s">
        <v>21</v>
      </c>
      <c r="K491" s="279"/>
      <c r="L491" s="262"/>
      <c r="M491" s="16"/>
      <c r="N491" s="259"/>
    </row>
    <row r="492" spans="10:14" ht="15.75" x14ac:dyDescent="0.25">
      <c r="J492" s="258" t="s">
        <v>22</v>
      </c>
      <c r="K492" s="279">
        <v>228257.30892383552</v>
      </c>
      <c r="L492" s="262">
        <f>D65</f>
        <v>8.0579532986977345</v>
      </c>
      <c r="M492" s="16">
        <f>L492*$C$146</f>
        <v>17.755007229986585</v>
      </c>
      <c r="N492" s="259">
        <f>M492*K492/1000</f>
        <v>4052.7101702399814</v>
      </c>
    </row>
    <row r="493" spans="10:14" ht="15.75" x14ac:dyDescent="0.25">
      <c r="J493" s="258" t="s">
        <v>24</v>
      </c>
      <c r="K493" s="280"/>
      <c r="L493" s="264"/>
      <c r="M493" s="17"/>
      <c r="N493" s="267"/>
    </row>
    <row r="494" spans="10:14" ht="15.75" x14ac:dyDescent="0.25">
      <c r="J494" s="258" t="s">
        <v>2</v>
      </c>
      <c r="K494" s="279">
        <f>SUM(K491:K493)</f>
        <v>228257.30892383552</v>
      </c>
      <c r="L494" s="262">
        <f>L492</f>
        <v>8.0579532986977345</v>
      </c>
      <c r="M494" s="16">
        <f>L494*$C$146</f>
        <v>17.755007229986585</v>
      </c>
      <c r="N494" s="259">
        <f>M494*K494/1000</f>
        <v>4052.7101702399814</v>
      </c>
    </row>
    <row r="495" spans="10:14" ht="15.75" x14ac:dyDescent="0.25">
      <c r="J495" s="258"/>
      <c r="K495" s="283"/>
      <c r="L495" s="283"/>
      <c r="M495" s="276"/>
      <c r="N495" s="259"/>
    </row>
    <row r="496" spans="10:14" ht="16.5" thickBot="1" x14ac:dyDescent="0.3">
      <c r="J496" s="330" t="s">
        <v>231</v>
      </c>
      <c r="K496" s="331"/>
      <c r="L496" s="332"/>
      <c r="M496" s="333"/>
      <c r="N496" s="334">
        <f>N470+N476+N482+N488+N494</f>
        <v>4242.9567439395269</v>
      </c>
    </row>
    <row r="497" spans="10:15" x14ac:dyDescent="0.2">
      <c r="J497" s="231"/>
      <c r="K497" s="120"/>
      <c r="L497" s="120"/>
      <c r="M497" s="120"/>
      <c r="N497" s="232"/>
    </row>
    <row r="498" spans="10:15" ht="15.75" x14ac:dyDescent="0.25">
      <c r="J498" s="325" t="s">
        <v>99</v>
      </c>
      <c r="K498" s="120"/>
      <c r="L498" s="120"/>
      <c r="M498" s="120"/>
      <c r="N498" s="232"/>
    </row>
    <row r="499" spans="10:15" ht="15.75" x14ac:dyDescent="0.25">
      <c r="J499" s="325" t="s">
        <v>56</v>
      </c>
      <c r="K499" s="120"/>
      <c r="L499" s="120"/>
      <c r="M499" s="120"/>
      <c r="N499" s="286">
        <f>N322+N342+N348+N384+N388+N392+N396+N400+N404+N476+N486+N492</f>
        <v>7617.1458412265565</v>
      </c>
    </row>
    <row r="500" spans="10:15" ht="15.75" x14ac:dyDescent="0.25">
      <c r="J500" s="325" t="s">
        <v>57</v>
      </c>
      <c r="K500" s="120"/>
      <c r="L500" s="120"/>
      <c r="M500" s="120"/>
      <c r="N500" s="286">
        <f>N331+N336+N385+N389+N393+N397+N401+N405+N380</f>
        <v>981.84298239018131</v>
      </c>
    </row>
    <row r="501" spans="10:15" ht="15.75" x14ac:dyDescent="0.25">
      <c r="J501" s="325" t="s">
        <v>58</v>
      </c>
      <c r="K501" s="120"/>
      <c r="L501" s="120"/>
      <c r="M501" s="120"/>
      <c r="N501" s="335">
        <f>N328+N386+N390+N394+N398+N402+N406+N482</f>
        <v>184.83646610197883</v>
      </c>
    </row>
    <row r="502" spans="10:15" ht="15.75" x14ac:dyDescent="0.25">
      <c r="J502" s="325" t="s">
        <v>100</v>
      </c>
      <c r="K502" s="120"/>
      <c r="L502" s="120"/>
      <c r="M502" s="120"/>
      <c r="N502" s="286">
        <f>SUM(N499:N501)</f>
        <v>8783.8252897187158</v>
      </c>
      <c r="O502" s="324">
        <f>N322+N328+N331+N336+N344+N380+N476+N482+N488+N494+N350</f>
        <v>8783.8252897187158</v>
      </c>
    </row>
    <row r="503" spans="10:15" ht="15.75" x14ac:dyDescent="0.25">
      <c r="J503" s="325"/>
      <c r="K503" s="120"/>
      <c r="L503" s="120"/>
      <c r="M503" s="120"/>
      <c r="N503" s="336"/>
    </row>
    <row r="504" spans="10:15" ht="15.75" x14ac:dyDescent="0.25">
      <c r="J504" s="325" t="s">
        <v>101</v>
      </c>
      <c r="K504" s="120"/>
      <c r="L504" s="120"/>
      <c r="M504" s="120"/>
      <c r="N504" s="336"/>
    </row>
    <row r="505" spans="10:15" ht="15.75" x14ac:dyDescent="0.25">
      <c r="J505" s="325" t="s">
        <v>56</v>
      </c>
      <c r="K505" s="120"/>
      <c r="L505" s="120"/>
      <c r="M505" s="120"/>
      <c r="N505" s="286">
        <f>N356+N368+N374+N411+N415+N419+N423+N427+N431</f>
        <v>2762.9916302986385</v>
      </c>
    </row>
    <row r="506" spans="10:15" ht="15.75" x14ac:dyDescent="0.25">
      <c r="J506" s="325" t="s">
        <v>57</v>
      </c>
      <c r="K506" s="120"/>
      <c r="L506" s="120"/>
      <c r="M506" s="120"/>
      <c r="N506" s="286">
        <f>N357+N369+N375+N412+N416+N420+N424+N428+N432</f>
        <v>1594.8589663288149</v>
      </c>
    </row>
    <row r="507" spans="10:15" ht="15.75" x14ac:dyDescent="0.25">
      <c r="J507" s="325" t="s">
        <v>58</v>
      </c>
      <c r="K507" s="120"/>
      <c r="L507" s="120"/>
      <c r="M507" s="120"/>
      <c r="N507" s="335">
        <f>N358+N370+N376+N413+N417+N421+N425+N429+N433</f>
        <v>7759.5024041993129</v>
      </c>
    </row>
    <row r="508" spans="10:15" ht="15.75" x14ac:dyDescent="0.25">
      <c r="J508" s="325" t="s">
        <v>87</v>
      </c>
      <c r="K508" s="120"/>
      <c r="L508" s="120"/>
      <c r="M508" s="120"/>
      <c r="N508" s="286">
        <f>SUM(N505:N507)</f>
        <v>12117.353000826766</v>
      </c>
      <c r="O508" s="324">
        <f>N359+N371+N377+SUM(N411:N433)</f>
        <v>12117.353000826766</v>
      </c>
    </row>
    <row r="509" spans="10:15" ht="15.75" x14ac:dyDescent="0.25">
      <c r="J509" s="325"/>
      <c r="K509" s="120"/>
      <c r="L509" s="120"/>
      <c r="M509" s="120"/>
      <c r="N509" s="336"/>
    </row>
    <row r="510" spans="10:15" ht="15.75" x14ac:dyDescent="0.25">
      <c r="J510" s="325" t="s">
        <v>105</v>
      </c>
      <c r="K510" s="120"/>
      <c r="L510" s="120"/>
      <c r="M510" s="120"/>
      <c r="N510" s="336"/>
    </row>
    <row r="511" spans="10:15" ht="15.75" x14ac:dyDescent="0.25">
      <c r="J511" s="325" t="s">
        <v>56</v>
      </c>
      <c r="K511" s="120"/>
      <c r="L511" s="120"/>
      <c r="M511" s="120"/>
      <c r="N511" s="337">
        <f>N438+N442+N446+N450+N454+N458+N362</f>
        <v>1199.4888485474162</v>
      </c>
    </row>
    <row r="512" spans="10:15" ht="15.75" x14ac:dyDescent="0.25">
      <c r="J512" s="325" t="s">
        <v>57</v>
      </c>
      <c r="K512" s="120"/>
      <c r="L512" s="120"/>
      <c r="M512" s="120"/>
      <c r="N512" s="337">
        <f>N439+N443+N447+N451+N455+N459+N363</f>
        <v>1791.6835185393577</v>
      </c>
    </row>
    <row r="513" spans="10:15" ht="15.75" x14ac:dyDescent="0.25">
      <c r="J513" s="325" t="s">
        <v>58</v>
      </c>
      <c r="K513" s="120"/>
      <c r="L513" s="120"/>
      <c r="M513" s="120"/>
      <c r="N513" s="338">
        <f>N440+N444+N448+N452+N456+N460+N364</f>
        <v>14951.31353320677</v>
      </c>
    </row>
    <row r="514" spans="10:15" ht="15.75" x14ac:dyDescent="0.25">
      <c r="J514" s="325" t="s">
        <v>241</v>
      </c>
      <c r="K514" s="120"/>
      <c r="L514" s="120"/>
      <c r="M514" s="120"/>
      <c r="N514" s="286">
        <f>SUM(N511:N513)</f>
        <v>17942.485900293545</v>
      </c>
      <c r="O514" s="324">
        <f>N365+SUM(N438:N460)</f>
        <v>17942.485900293541</v>
      </c>
    </row>
    <row r="515" spans="10:15" ht="15.75" x14ac:dyDescent="0.25">
      <c r="J515" s="325"/>
      <c r="K515" s="120"/>
      <c r="L515" s="120"/>
      <c r="M515" s="120"/>
      <c r="N515" s="336"/>
    </row>
    <row r="516" spans="10:15" ht="15.75" x14ac:dyDescent="0.25">
      <c r="J516" s="325" t="s">
        <v>103</v>
      </c>
      <c r="K516" s="120"/>
      <c r="L516" s="120"/>
      <c r="M516" s="120"/>
      <c r="N516" s="336"/>
    </row>
    <row r="517" spans="10:15" ht="15.75" x14ac:dyDescent="0.25">
      <c r="J517" s="325" t="s">
        <v>56</v>
      </c>
      <c r="K517" s="120"/>
      <c r="L517" s="120"/>
      <c r="M517" s="120"/>
      <c r="N517" s="286">
        <f>N499+N505+N511</f>
        <v>11579.626320072612</v>
      </c>
    </row>
    <row r="518" spans="10:15" ht="15.75" x14ac:dyDescent="0.25">
      <c r="J518" s="325" t="s">
        <v>57</v>
      </c>
      <c r="K518" s="120"/>
      <c r="L518" s="120"/>
      <c r="M518" s="120"/>
      <c r="N518" s="286">
        <f>N500+N506+N512</f>
        <v>4368.3854672583539</v>
      </c>
    </row>
    <row r="519" spans="10:15" ht="15.75" x14ac:dyDescent="0.25">
      <c r="J519" s="325" t="s">
        <v>58</v>
      </c>
      <c r="K519" s="120"/>
      <c r="L519" s="120"/>
      <c r="M519" s="120"/>
      <c r="N519" s="286">
        <f>N501+N507+N513</f>
        <v>22895.652403508062</v>
      </c>
    </row>
    <row r="520" spans="10:15" ht="15.75" x14ac:dyDescent="0.25">
      <c r="J520" s="325"/>
      <c r="K520" s="120"/>
      <c r="L520" s="120"/>
      <c r="M520" s="120"/>
      <c r="N520" s="336"/>
    </row>
    <row r="521" spans="10:15" ht="16.5" thickBot="1" x14ac:dyDescent="0.3">
      <c r="J521" s="339" t="s">
        <v>51</v>
      </c>
      <c r="K521" s="340"/>
      <c r="L521" s="340"/>
      <c r="M521" s="340"/>
      <c r="N521" s="341">
        <f>N517+N518+N519</f>
        <v>38843.66419083903</v>
      </c>
      <c r="O521" s="324">
        <f>O514+O508+O502</f>
        <v>38843.664190839023</v>
      </c>
    </row>
    <row r="524" spans="10:15" ht="14.25" x14ac:dyDescent="0.2">
      <c r="J524" s="225" t="s">
        <v>266</v>
      </c>
    </row>
    <row r="525" spans="10:15" x14ac:dyDescent="0.2">
      <c r="J525" s="115" t="s">
        <v>267</v>
      </c>
    </row>
  </sheetData>
  <printOptions horizontalCentered="1"/>
  <pageMargins left="0.15" right="0.15" top="0.5" bottom="0.25" header="0.5" footer="0.5"/>
  <pageSetup scale="46" orientation="portrait" r:id="rId1"/>
  <headerFooter alignWithMargins="0">
    <oddFooter>&amp;L&amp;F
&amp;A&amp;R&amp;P of &amp;N</oddFooter>
  </headerFooter>
  <rowBreaks count="8" manualBreakCount="8">
    <brk id="69" max="6" man="1"/>
    <brk id="103" min="9" max="18" man="1"/>
    <brk id="162" min="9" max="18" man="1"/>
    <brk id="240" min="9" max="18" man="1"/>
    <brk id="309" min="9" max="18" man="1"/>
    <brk id="378" min="9" max="18" man="1"/>
    <brk id="435" min="9" max="18" man="1"/>
    <brk id="496" min="9" max="18" man="1"/>
  </row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G260"/>
  <sheetViews>
    <sheetView zoomScale="85" zoomScaleNormal="85" workbookViewId="0">
      <selection activeCell="E2" sqref="E2"/>
    </sheetView>
  </sheetViews>
  <sheetFormatPr defaultRowHeight="12.75" x14ac:dyDescent="0.2"/>
  <cols>
    <col min="1" max="1" width="3" style="211" customWidth="1"/>
    <col min="2" max="4" width="9.140625" style="211"/>
    <col min="5" max="5" width="12.140625" style="211" bestFit="1" customWidth="1"/>
    <col min="6" max="6" width="8" style="211" bestFit="1" customWidth="1"/>
    <col min="7" max="7" width="12.7109375" style="211" customWidth="1"/>
    <col min="8" max="8" width="14.42578125" style="211" bestFit="1" customWidth="1"/>
    <col min="9" max="9" width="3.5703125" style="211" customWidth="1"/>
    <col min="10" max="10" width="9.140625" style="211"/>
    <col min="11" max="11" width="4.5703125" style="211" bestFit="1" customWidth="1"/>
    <col min="12" max="12" width="1.7109375" style="211" customWidth="1"/>
    <col min="13" max="13" width="36.42578125" style="211" bestFit="1" customWidth="1"/>
    <col min="14" max="14" width="12" style="211" bestFit="1" customWidth="1"/>
    <col min="15" max="15" width="1.28515625" style="211" customWidth="1"/>
    <col min="16" max="16" width="16.28515625" style="157" customWidth="1"/>
    <col min="17" max="17" width="13.7109375" style="211" customWidth="1"/>
    <col min="18" max="18" width="13.5703125" style="211" bestFit="1" customWidth="1"/>
    <col min="19" max="19" width="12.85546875" style="211" customWidth="1"/>
    <col min="20" max="20" width="15" style="211" customWidth="1"/>
    <col min="21" max="21" width="1.140625" style="157" customWidth="1"/>
    <col min="22" max="22" width="17.5703125" style="157" bestFit="1" customWidth="1"/>
    <col min="23" max="23" width="12.28515625" style="211" customWidth="1"/>
    <col min="24" max="24" width="13.85546875" style="211" customWidth="1"/>
    <col min="25" max="25" width="12.85546875" style="211" customWidth="1"/>
    <col min="26" max="26" width="15" style="211" customWidth="1"/>
    <col min="27" max="27" width="1" style="157" customWidth="1"/>
    <col min="28" max="28" width="17.5703125" style="157" bestFit="1" customWidth="1"/>
    <col min="29" max="29" width="13" style="211" customWidth="1"/>
    <col min="30" max="30" width="15.28515625" style="211" customWidth="1"/>
    <col min="31" max="31" width="12.85546875" style="211" customWidth="1"/>
    <col min="32" max="32" width="15.28515625" style="211" customWidth="1"/>
    <col min="33" max="33" width="9.140625" style="157"/>
    <col min="34" max="16384" width="9.140625" style="211"/>
  </cols>
  <sheetData>
    <row r="2" spans="2:33" x14ac:dyDescent="0.2">
      <c r="S2" s="212">
        <v>2.9274423359163849E-2</v>
      </c>
      <c r="T2" s="211" t="s">
        <v>113</v>
      </c>
      <c r="Y2" s="212">
        <v>2.9274423359163849E-2</v>
      </c>
      <c r="Z2" s="211" t="s">
        <v>113</v>
      </c>
      <c r="AE2" s="212">
        <v>2.9274423359163849E-2</v>
      </c>
      <c r="AF2" s="211" t="s">
        <v>113</v>
      </c>
    </row>
    <row r="5" spans="2:33" x14ac:dyDescent="0.2">
      <c r="K5" s="213" t="s">
        <v>7</v>
      </c>
      <c r="P5" s="354" t="s">
        <v>79</v>
      </c>
      <c r="Q5" s="354"/>
      <c r="R5" s="354"/>
      <c r="S5" s="354"/>
      <c r="T5" s="354"/>
      <c r="V5" s="354" t="s">
        <v>114</v>
      </c>
      <c r="W5" s="354"/>
      <c r="X5" s="354"/>
      <c r="Y5" s="354"/>
      <c r="Z5" s="354"/>
      <c r="AB5" s="354" t="s">
        <v>115</v>
      </c>
      <c r="AC5" s="354"/>
      <c r="AD5" s="354"/>
      <c r="AE5" s="354"/>
      <c r="AF5" s="354"/>
    </row>
    <row r="6" spans="2:33" s="215" customFormat="1" x14ac:dyDescent="0.2">
      <c r="B6" s="214" t="s">
        <v>116</v>
      </c>
      <c r="C6" s="214" t="s">
        <v>117</v>
      </c>
      <c r="D6" s="214" t="s">
        <v>118</v>
      </c>
      <c r="E6" s="214" t="s">
        <v>119</v>
      </c>
      <c r="F6" s="214" t="s">
        <v>120</v>
      </c>
      <c r="G6" s="214" t="s">
        <v>121</v>
      </c>
      <c r="H6" s="214" t="s">
        <v>122</v>
      </c>
      <c r="I6" s="214" t="s">
        <v>123</v>
      </c>
      <c r="K6" s="214" t="s">
        <v>10</v>
      </c>
      <c r="P6" s="216" t="s">
        <v>124</v>
      </c>
      <c r="Q6" s="217" t="s">
        <v>27</v>
      </c>
      <c r="R6" s="217" t="s">
        <v>4</v>
      </c>
      <c r="S6" s="217" t="s">
        <v>125</v>
      </c>
      <c r="T6" s="218" t="s">
        <v>126</v>
      </c>
      <c r="U6" s="219"/>
      <c r="V6" s="216" t="s">
        <v>124</v>
      </c>
      <c r="W6" s="217" t="s">
        <v>27</v>
      </c>
      <c r="X6" s="217" t="s">
        <v>4</v>
      </c>
      <c r="Y6" s="217" t="s">
        <v>125</v>
      </c>
      <c r="Z6" s="218" t="s">
        <v>126</v>
      </c>
      <c r="AA6" s="219"/>
      <c r="AB6" s="216" t="s">
        <v>124</v>
      </c>
      <c r="AC6" s="217" t="s">
        <v>27</v>
      </c>
      <c r="AD6" s="217" t="s">
        <v>4</v>
      </c>
      <c r="AE6" s="217" t="s">
        <v>125</v>
      </c>
      <c r="AF6" s="218" t="s">
        <v>126</v>
      </c>
      <c r="AG6" s="219"/>
    </row>
    <row r="7" spans="2:33" x14ac:dyDescent="0.2">
      <c r="B7" s="91" t="s">
        <v>127</v>
      </c>
      <c r="C7" s="91" t="s">
        <v>70</v>
      </c>
      <c r="D7" s="91" t="s">
        <v>128</v>
      </c>
      <c r="E7" s="91" t="s">
        <v>129</v>
      </c>
      <c r="F7" s="91"/>
      <c r="G7" s="91"/>
      <c r="H7" s="91"/>
      <c r="I7" s="91"/>
      <c r="J7" s="91"/>
      <c r="K7" s="92">
        <f t="shared" ref="K7:K70" si="0">IF(ISNUMBER(SEARCH("continued", M7)), K5+1, IF(ISNUMBER(SEARCH("schedule", M7)), 1, IF(M7="", "", K6+1)))</f>
        <v>1</v>
      </c>
      <c r="L7" s="91"/>
      <c r="M7" s="93" t="s">
        <v>130</v>
      </c>
      <c r="N7" s="220"/>
      <c r="O7" s="220"/>
      <c r="P7" s="94"/>
      <c r="V7" s="94"/>
    </row>
    <row r="8" spans="2:33" x14ac:dyDescent="0.2">
      <c r="B8" s="91" t="s">
        <v>127</v>
      </c>
      <c r="C8" s="91" t="s">
        <v>70</v>
      </c>
      <c r="D8" s="91" t="s">
        <v>128</v>
      </c>
      <c r="E8" s="91"/>
      <c r="F8" s="91"/>
      <c r="G8" s="91"/>
      <c r="H8" s="91"/>
      <c r="I8" s="91"/>
      <c r="J8" s="91"/>
      <c r="K8" s="92">
        <f t="shared" si="0"/>
        <v>2</v>
      </c>
      <c r="L8" s="91"/>
      <c r="M8" s="91" t="s">
        <v>131</v>
      </c>
      <c r="N8" s="91"/>
      <c r="O8" s="91"/>
      <c r="P8" s="95"/>
      <c r="V8" s="95"/>
    </row>
    <row r="9" spans="2:33" x14ac:dyDescent="0.2">
      <c r="B9" s="91" t="s">
        <v>127</v>
      </c>
      <c r="C9" s="91" t="s">
        <v>70</v>
      </c>
      <c r="D9" s="91" t="s">
        <v>128</v>
      </c>
      <c r="E9" s="91"/>
      <c r="F9" s="91"/>
      <c r="G9" s="91"/>
      <c r="H9" s="91"/>
      <c r="I9" s="91"/>
      <c r="J9" s="91"/>
      <c r="K9" s="92">
        <f t="shared" si="0"/>
        <v>3</v>
      </c>
      <c r="L9" s="91"/>
      <c r="M9" s="96" t="s">
        <v>132</v>
      </c>
      <c r="N9" s="91"/>
      <c r="O9" s="91"/>
      <c r="P9" s="95"/>
      <c r="V9" s="95"/>
    </row>
    <row r="10" spans="2:33" x14ac:dyDescent="0.2">
      <c r="B10" s="91" t="s">
        <v>127</v>
      </c>
      <c r="C10" s="91" t="s">
        <v>70</v>
      </c>
      <c r="D10" s="91" t="s">
        <v>128</v>
      </c>
      <c r="E10" s="91" t="s">
        <v>133</v>
      </c>
      <c r="F10" s="91"/>
      <c r="G10" s="91"/>
      <c r="H10" s="91" t="s">
        <v>21</v>
      </c>
      <c r="I10" s="91"/>
      <c r="J10" s="91" t="s">
        <v>134</v>
      </c>
      <c r="K10" s="92">
        <f t="shared" si="0"/>
        <v>4</v>
      </c>
      <c r="L10" s="91"/>
      <c r="M10" s="97" t="s">
        <v>21</v>
      </c>
      <c r="N10" s="91" t="s">
        <v>80</v>
      </c>
      <c r="O10" s="91"/>
      <c r="P10" s="95">
        <v>230088.22783940248</v>
      </c>
      <c r="Q10" s="98">
        <v>186.304</v>
      </c>
      <c r="R10" s="99">
        <f>P10*Q10</f>
        <v>42866357.199392043</v>
      </c>
      <c r="S10" s="99">
        <f>R10*$S$2</f>
        <v>1254887.8885201439</v>
      </c>
      <c r="T10" s="221">
        <f>S10+R10</f>
        <v>44121245.087912187</v>
      </c>
      <c r="V10" s="95">
        <v>229413.40733055439</v>
      </c>
      <c r="W10" s="98">
        <v>223.56479999999999</v>
      </c>
      <c r="X10" s="99">
        <f>V10*W10</f>
        <v>51288762.527173921</v>
      </c>
      <c r="Y10" s="99">
        <f>X10*$Y$2</f>
        <v>1501448.9477881077</v>
      </c>
      <c r="Z10" s="221">
        <f>Y10+X10</f>
        <v>52790211.474962026</v>
      </c>
      <c r="AB10" s="222">
        <f>V10</f>
        <v>229413.40733055439</v>
      </c>
      <c r="AC10" s="98">
        <v>268.27776</v>
      </c>
      <c r="AD10" s="99">
        <f>AB10*AC10</f>
        <v>61546515.03260871</v>
      </c>
      <c r="AE10" s="99">
        <f>AD10*$AE$2</f>
        <v>1801738.7373457295</v>
      </c>
      <c r="AF10" s="221">
        <f>AE10+AD10</f>
        <v>63348253.769954443</v>
      </c>
    </row>
    <row r="11" spans="2:33" x14ac:dyDescent="0.2">
      <c r="B11" s="91" t="s">
        <v>127</v>
      </c>
      <c r="C11" s="91" t="s">
        <v>70</v>
      </c>
      <c r="D11" s="91" t="s">
        <v>128</v>
      </c>
      <c r="E11" s="91" t="s">
        <v>133</v>
      </c>
      <c r="F11" s="91"/>
      <c r="G11" s="91"/>
      <c r="H11" s="91" t="s">
        <v>22</v>
      </c>
      <c r="I11" s="91"/>
      <c r="J11" s="91" t="s">
        <v>134</v>
      </c>
      <c r="K11" s="92">
        <f t="shared" si="0"/>
        <v>5</v>
      </c>
      <c r="L11" s="91"/>
      <c r="M11" s="97" t="s">
        <v>22</v>
      </c>
      <c r="N11" s="91" t="s">
        <v>80</v>
      </c>
      <c r="O11" s="91"/>
      <c r="P11" s="95">
        <v>1946.5966768746803</v>
      </c>
      <c r="Q11" s="98">
        <v>50.237889571035566</v>
      </c>
      <c r="R11" s="99">
        <f t="shared" ref="R11:R40" si="1">P11*Q11</f>
        <v>97792.908892174994</v>
      </c>
      <c r="S11" s="99">
        <f t="shared" ref="S11:S14" si="2">R11*$S$2</f>
        <v>2862.8310164336699</v>
      </c>
      <c r="T11" s="221">
        <f t="shared" ref="T11:T14" si="3">S11+R11</f>
        <v>100655.73990860867</v>
      </c>
      <c r="V11" s="95">
        <v>1790.549922139639</v>
      </c>
      <c r="W11" s="98">
        <v>60.285467485242677</v>
      </c>
      <c r="X11" s="99">
        <f t="shared" ref="X11:X40" si="4">V11*W11</f>
        <v>107944.13911185302</v>
      </c>
      <c r="Y11" s="99">
        <f>X11*$Y$2</f>
        <v>3160.0024275008618</v>
      </c>
      <c r="Z11" s="221">
        <f t="shared" ref="Z11:Z14" si="5">Y11+X11</f>
        <v>111104.14153935388</v>
      </c>
      <c r="AB11" s="222">
        <f t="shared" ref="AB11:AB14" si="6">V11</f>
        <v>1790.549922139639</v>
      </c>
      <c r="AC11" s="98">
        <v>72.342560982291204</v>
      </c>
      <c r="AD11" s="99">
        <f t="shared" ref="AD11:AD40" si="7">AB11*AC11</f>
        <v>129532.9669342236</v>
      </c>
      <c r="AE11" s="99">
        <f>AD11*$AE$2</f>
        <v>3792.0029130010339</v>
      </c>
      <c r="AF11" s="221">
        <f t="shared" ref="AF11:AF14" si="8">AE11+AD11</f>
        <v>133324.96984722462</v>
      </c>
    </row>
    <row r="12" spans="2:33" x14ac:dyDescent="0.2">
      <c r="B12" s="91" t="s">
        <v>127</v>
      </c>
      <c r="C12" s="91" t="s">
        <v>70</v>
      </c>
      <c r="D12" s="91" t="s">
        <v>128</v>
      </c>
      <c r="E12" s="91" t="s">
        <v>133</v>
      </c>
      <c r="F12" s="91"/>
      <c r="G12" s="91"/>
      <c r="H12" s="91" t="s">
        <v>135</v>
      </c>
      <c r="I12" s="91"/>
      <c r="J12" s="91" t="s">
        <v>134</v>
      </c>
      <c r="K12" s="92">
        <f t="shared" si="0"/>
        <v>6</v>
      </c>
      <c r="L12" s="91"/>
      <c r="M12" s="97" t="s">
        <v>53</v>
      </c>
      <c r="N12" s="91" t="s">
        <v>80</v>
      </c>
      <c r="O12" s="91"/>
      <c r="P12" s="95">
        <v>0</v>
      </c>
      <c r="Q12" s="98">
        <v>18172.181137240001</v>
      </c>
      <c r="R12" s="99">
        <f t="shared" si="1"/>
        <v>0</v>
      </c>
      <c r="S12" s="99">
        <f t="shared" si="2"/>
        <v>0</v>
      </c>
      <c r="T12" s="221">
        <f t="shared" si="3"/>
        <v>0</v>
      </c>
      <c r="V12" s="95">
        <v>0</v>
      </c>
      <c r="W12" s="98">
        <v>21806.617364688002</v>
      </c>
      <c r="X12" s="99">
        <f t="shared" si="4"/>
        <v>0</v>
      </c>
      <c r="Y12" s="99">
        <f>X12*$Y$2</f>
        <v>0</v>
      </c>
      <c r="Z12" s="221">
        <f t="shared" si="5"/>
        <v>0</v>
      </c>
      <c r="AB12" s="222">
        <f t="shared" si="6"/>
        <v>0</v>
      </c>
      <c r="AC12" s="98">
        <v>26167.9408376256</v>
      </c>
      <c r="AD12" s="99">
        <f t="shared" si="7"/>
        <v>0</v>
      </c>
      <c r="AE12" s="99">
        <f>AD12*$AE$2</f>
        <v>0</v>
      </c>
      <c r="AF12" s="221">
        <f t="shared" si="8"/>
        <v>0</v>
      </c>
    </row>
    <row r="13" spans="2:33" x14ac:dyDescent="0.2">
      <c r="B13" s="91" t="s">
        <v>127</v>
      </c>
      <c r="C13" s="91" t="s">
        <v>70</v>
      </c>
      <c r="D13" s="91" t="s">
        <v>128</v>
      </c>
      <c r="E13" s="91" t="s">
        <v>133</v>
      </c>
      <c r="F13" s="91"/>
      <c r="G13" s="91"/>
      <c r="H13" s="91" t="s">
        <v>136</v>
      </c>
      <c r="I13" s="91"/>
      <c r="J13" s="91" t="s">
        <v>134</v>
      </c>
      <c r="K13" s="92">
        <f t="shared" si="0"/>
        <v>7</v>
      </c>
      <c r="L13" s="91"/>
      <c r="M13" s="97" t="s">
        <v>52</v>
      </c>
      <c r="N13" s="91" t="s">
        <v>80</v>
      </c>
      <c r="O13" s="91"/>
      <c r="P13" s="95">
        <v>0</v>
      </c>
      <c r="Q13" s="98">
        <v>18172.181137240001</v>
      </c>
      <c r="R13" s="99">
        <f t="shared" si="1"/>
        <v>0</v>
      </c>
      <c r="S13" s="99">
        <f t="shared" si="2"/>
        <v>0</v>
      </c>
      <c r="T13" s="221">
        <f t="shared" si="3"/>
        <v>0</v>
      </c>
      <c r="V13" s="95">
        <v>0</v>
      </c>
      <c r="W13" s="98">
        <v>21806.617364688002</v>
      </c>
      <c r="X13" s="99">
        <f t="shared" si="4"/>
        <v>0</v>
      </c>
      <c r="Y13" s="99">
        <f>X13*$Y$2</f>
        <v>0</v>
      </c>
      <c r="Z13" s="221">
        <f t="shared" si="5"/>
        <v>0</v>
      </c>
      <c r="AB13" s="222">
        <f t="shared" si="6"/>
        <v>0</v>
      </c>
      <c r="AC13" s="98">
        <v>26167.9408376256</v>
      </c>
      <c r="AD13" s="99">
        <f t="shared" si="7"/>
        <v>0</v>
      </c>
      <c r="AE13" s="99">
        <f>AD13*$AE$2</f>
        <v>0</v>
      </c>
      <c r="AF13" s="221">
        <f t="shared" si="8"/>
        <v>0</v>
      </c>
    </row>
    <row r="14" spans="2:33" x14ac:dyDescent="0.2">
      <c r="B14" s="91" t="s">
        <v>127</v>
      </c>
      <c r="C14" s="91" t="s">
        <v>70</v>
      </c>
      <c r="D14" s="91" t="s">
        <v>128</v>
      </c>
      <c r="E14" s="91" t="s">
        <v>133</v>
      </c>
      <c r="F14" s="91"/>
      <c r="G14" s="91"/>
      <c r="H14" s="91" t="s">
        <v>24</v>
      </c>
      <c r="I14" s="91"/>
      <c r="J14" s="91" t="s">
        <v>134</v>
      </c>
      <c r="K14" s="92">
        <f t="shared" si="0"/>
        <v>8</v>
      </c>
      <c r="L14" s="91"/>
      <c r="M14" s="97" t="s">
        <v>24</v>
      </c>
      <c r="N14" s="91" t="s">
        <v>80</v>
      </c>
      <c r="O14" s="91"/>
      <c r="P14" s="95">
        <v>126.1121832609315</v>
      </c>
      <c r="Q14" s="98">
        <v>270.94400000000002</v>
      </c>
      <c r="R14" s="99">
        <f t="shared" si="1"/>
        <v>34169.339381449827</v>
      </c>
      <c r="S14" s="99">
        <f t="shared" si="2"/>
        <v>1000.287706955512</v>
      </c>
      <c r="T14" s="221">
        <f t="shared" si="3"/>
        <v>35169.627088405337</v>
      </c>
      <c r="V14" s="95">
        <v>133.84580301686367</v>
      </c>
      <c r="W14" s="98">
        <v>325.13280000000003</v>
      </c>
      <c r="X14" s="99">
        <f t="shared" si="4"/>
        <v>43517.660703121335</v>
      </c>
      <c r="Y14" s="99">
        <f>X14*$Y$2</f>
        <v>1273.954423023622</v>
      </c>
      <c r="Z14" s="221">
        <f t="shared" si="5"/>
        <v>44791.615126144956</v>
      </c>
      <c r="AB14" s="222">
        <f t="shared" si="6"/>
        <v>133.84580301686367</v>
      </c>
      <c r="AC14" s="98">
        <v>390.15936000000005</v>
      </c>
      <c r="AD14" s="99">
        <f t="shared" si="7"/>
        <v>52221.192843745608</v>
      </c>
      <c r="AE14" s="99">
        <f>AD14*$AE$2</f>
        <v>1528.7453076283464</v>
      </c>
      <c r="AF14" s="221">
        <f t="shared" si="8"/>
        <v>53749.938151373957</v>
      </c>
    </row>
    <row r="15" spans="2:33" x14ac:dyDescent="0.2">
      <c r="B15" s="91" t="s">
        <v>127</v>
      </c>
      <c r="C15" s="91" t="s">
        <v>70</v>
      </c>
      <c r="D15" s="91" t="s">
        <v>128</v>
      </c>
      <c r="E15" s="91"/>
      <c r="F15" s="91"/>
      <c r="G15" s="91"/>
      <c r="H15" s="91"/>
      <c r="I15" s="91"/>
      <c r="J15" s="91"/>
      <c r="K15" s="92">
        <f t="shared" si="0"/>
        <v>9</v>
      </c>
      <c r="L15" s="91"/>
      <c r="M15" s="96" t="s">
        <v>137</v>
      </c>
      <c r="N15" s="91"/>
      <c r="O15" s="91"/>
      <c r="P15" s="95"/>
      <c r="Q15" s="98"/>
      <c r="R15" s="99"/>
      <c r="V15" s="95"/>
      <c r="W15" s="98"/>
      <c r="X15" s="99"/>
      <c r="AC15" s="98"/>
      <c r="AD15" s="99"/>
    </row>
    <row r="16" spans="2:33" x14ac:dyDescent="0.2">
      <c r="B16" s="91" t="s">
        <v>127</v>
      </c>
      <c r="C16" s="91" t="s">
        <v>70</v>
      </c>
      <c r="D16" s="91" t="s">
        <v>128</v>
      </c>
      <c r="E16" s="91" t="s">
        <v>133</v>
      </c>
      <c r="F16" s="91"/>
      <c r="G16" s="91"/>
      <c r="H16" s="91" t="s">
        <v>21</v>
      </c>
      <c r="I16" s="91"/>
      <c r="J16" s="91" t="s">
        <v>138</v>
      </c>
      <c r="K16" s="92">
        <f t="shared" si="0"/>
        <v>10</v>
      </c>
      <c r="L16" s="91"/>
      <c r="M16" s="97" t="s">
        <v>21</v>
      </c>
      <c r="N16" s="91" t="s">
        <v>80</v>
      </c>
      <c r="O16" s="91"/>
      <c r="P16" s="95">
        <v>6493.3771716514721</v>
      </c>
      <c r="Q16" s="98">
        <v>744.64262691226372</v>
      </c>
      <c r="R16" s="99">
        <f t="shared" si="1"/>
        <v>4835245.4346306771</v>
      </c>
      <c r="S16" s="99">
        <f>R16*$S$2</f>
        <v>141549.02189884265</v>
      </c>
      <c r="T16" s="221">
        <f t="shared" ref="T16:T20" si="9">S16+R16</f>
        <v>4976794.4565295195</v>
      </c>
      <c r="V16" s="95">
        <v>6619.0056602994891</v>
      </c>
      <c r="W16" s="98">
        <v>798.76836328365005</v>
      </c>
      <c r="X16" s="99">
        <f t="shared" si="4"/>
        <v>5287052.3178426381</v>
      </c>
      <c r="Y16" s="99">
        <f>X16*$Y$2</f>
        <v>154775.4078745739</v>
      </c>
      <c r="Z16" s="221">
        <f t="shared" ref="Z16:Z20" si="10">Y16+X16</f>
        <v>5441827.7257172121</v>
      </c>
      <c r="AB16" s="222">
        <f>V16</f>
        <v>6619.0056602994891</v>
      </c>
      <c r="AC16" s="98">
        <v>798.76836328365005</v>
      </c>
      <c r="AD16" s="99">
        <f t="shared" si="7"/>
        <v>5287052.3178426381</v>
      </c>
      <c r="AE16" s="99">
        <f>AD16*$AE$2</f>
        <v>154775.4078745739</v>
      </c>
      <c r="AF16" s="221">
        <f t="shared" ref="AF16:AF20" si="11">AE16+AD16</f>
        <v>5441827.7257172121</v>
      </c>
    </row>
    <row r="17" spans="2:32" x14ac:dyDescent="0.2">
      <c r="B17" s="91" t="s">
        <v>127</v>
      </c>
      <c r="C17" s="91" t="s">
        <v>70</v>
      </c>
      <c r="D17" s="91" t="s">
        <v>128</v>
      </c>
      <c r="E17" s="91" t="s">
        <v>133</v>
      </c>
      <c r="F17" s="91"/>
      <c r="G17" s="91"/>
      <c r="H17" s="91" t="s">
        <v>22</v>
      </c>
      <c r="I17" s="91"/>
      <c r="J17" s="91" t="s">
        <v>138</v>
      </c>
      <c r="K17" s="92">
        <f t="shared" si="0"/>
        <v>11</v>
      </c>
      <c r="L17" s="91"/>
      <c r="M17" s="97" t="s">
        <v>22</v>
      </c>
      <c r="N17" s="91" t="s">
        <v>80</v>
      </c>
      <c r="O17" s="91"/>
      <c r="P17" s="95">
        <v>2066.4648695000496</v>
      </c>
      <c r="Q17" s="98">
        <v>59.767830378442255</v>
      </c>
      <c r="R17" s="99">
        <f t="shared" si="1"/>
        <v>123508.12180328878</v>
      </c>
      <c r="S17" s="99">
        <f t="shared" ref="S17:S20" si="12">R17*$S$2</f>
        <v>3615.6290459646511</v>
      </c>
      <c r="T17" s="221">
        <f t="shared" si="9"/>
        <v>127123.75084925344</v>
      </c>
      <c r="V17" s="95">
        <v>2073.6848290210532</v>
      </c>
      <c r="W17" s="98">
        <v>71.721396454130698</v>
      </c>
      <c r="X17" s="99">
        <f t="shared" si="4"/>
        <v>148727.57174313519</v>
      </c>
      <c r="Y17" s="99">
        <f>X17*$Y$2</f>
        <v>4353.9139003889541</v>
      </c>
      <c r="Z17" s="221">
        <f t="shared" si="10"/>
        <v>153081.48564352415</v>
      </c>
      <c r="AB17" s="222">
        <f t="shared" ref="AB17:AB20" si="13">V17</f>
        <v>2073.6848290210532</v>
      </c>
      <c r="AC17" s="98">
        <v>86.065675744956835</v>
      </c>
      <c r="AD17" s="99">
        <f t="shared" si="7"/>
        <v>178473.08609176223</v>
      </c>
      <c r="AE17" s="99">
        <f>AD17*$AE$2</f>
        <v>5224.6966804667445</v>
      </c>
      <c r="AF17" s="221">
        <f t="shared" si="11"/>
        <v>183697.78277222897</v>
      </c>
    </row>
    <row r="18" spans="2:32" x14ac:dyDescent="0.2">
      <c r="B18" s="91" t="s">
        <v>127</v>
      </c>
      <c r="C18" s="91" t="s">
        <v>70</v>
      </c>
      <c r="D18" s="91" t="s">
        <v>128</v>
      </c>
      <c r="E18" s="91" t="s">
        <v>133</v>
      </c>
      <c r="F18" s="91"/>
      <c r="G18" s="91"/>
      <c r="H18" s="91" t="s">
        <v>135</v>
      </c>
      <c r="I18" s="91"/>
      <c r="J18" s="91" t="s">
        <v>138</v>
      </c>
      <c r="K18" s="92">
        <f t="shared" si="0"/>
        <v>12</v>
      </c>
      <c r="L18" s="91"/>
      <c r="M18" s="97" t="s">
        <v>53</v>
      </c>
      <c r="N18" s="91" t="s">
        <v>80</v>
      </c>
      <c r="O18" s="91"/>
      <c r="P18" s="95">
        <v>155.21815269984171</v>
      </c>
      <c r="Q18" s="98">
        <v>18172.181137240001</v>
      </c>
      <c r="R18" s="99">
        <f t="shared" si="1"/>
        <v>2820652.3866493017</v>
      </c>
      <c r="S18" s="99">
        <f t="shared" si="12"/>
        <v>82572.972115807584</v>
      </c>
      <c r="T18" s="221">
        <f t="shared" si="9"/>
        <v>2903225.3587651094</v>
      </c>
      <c r="V18" s="95">
        <v>164.7623435206097</v>
      </c>
      <c r="W18" s="98">
        <v>21806.617364688002</v>
      </c>
      <c r="X18" s="99">
        <f t="shared" si="4"/>
        <v>3592909.3812632174</v>
      </c>
      <c r="Y18" s="99">
        <f>X18*$Y$2</f>
        <v>105180.35031821087</v>
      </c>
      <c r="Z18" s="221">
        <f t="shared" si="10"/>
        <v>3698089.7315814281</v>
      </c>
      <c r="AB18" s="222">
        <f t="shared" si="13"/>
        <v>164.7623435206097</v>
      </c>
      <c r="AC18" s="98">
        <v>26167.9408376256</v>
      </c>
      <c r="AD18" s="99">
        <f t="shared" si="7"/>
        <v>4311491.2575158607</v>
      </c>
      <c r="AE18" s="99">
        <f>AD18*$AE$2</f>
        <v>126216.42038185304</v>
      </c>
      <c r="AF18" s="221">
        <f t="shared" si="11"/>
        <v>4437707.6778977141</v>
      </c>
    </row>
    <row r="19" spans="2:32" x14ac:dyDescent="0.2">
      <c r="B19" s="91" t="s">
        <v>127</v>
      </c>
      <c r="C19" s="91" t="s">
        <v>70</v>
      </c>
      <c r="D19" s="91" t="s">
        <v>128</v>
      </c>
      <c r="E19" s="91" t="s">
        <v>133</v>
      </c>
      <c r="F19" s="91"/>
      <c r="G19" s="91"/>
      <c r="H19" s="91" t="s">
        <v>136</v>
      </c>
      <c r="I19" s="91"/>
      <c r="J19" s="91" t="s">
        <v>138</v>
      </c>
      <c r="K19" s="92">
        <f t="shared" si="0"/>
        <v>13</v>
      </c>
      <c r="L19" s="91"/>
      <c r="M19" s="97" t="s">
        <v>52</v>
      </c>
      <c r="N19" s="91" t="s">
        <v>80</v>
      </c>
      <c r="O19" s="91"/>
      <c r="P19" s="95">
        <v>410.67755049666147</v>
      </c>
      <c r="Q19" s="98">
        <v>18172.181137240001</v>
      </c>
      <c r="R19" s="99">
        <f t="shared" si="1"/>
        <v>7462906.8366233595</v>
      </c>
      <c r="S19" s="99">
        <f t="shared" si="12"/>
        <v>218472.29422531047</v>
      </c>
      <c r="T19" s="221">
        <f t="shared" si="9"/>
        <v>7681379.1308486704</v>
      </c>
      <c r="V19" s="95">
        <v>435.94336361430521</v>
      </c>
      <c r="W19" s="98">
        <v>21806.617364688002</v>
      </c>
      <c r="X19" s="99">
        <f t="shared" si="4"/>
        <v>9506450.1230122037</v>
      </c>
      <c r="Y19" s="99">
        <f>X19*$Y$2</f>
        <v>278295.8455438345</v>
      </c>
      <c r="Z19" s="221">
        <f t="shared" si="10"/>
        <v>9784745.968556039</v>
      </c>
      <c r="AB19" s="222">
        <f t="shared" si="13"/>
        <v>435.94336361430521</v>
      </c>
      <c r="AC19" s="98">
        <v>26167.9408376256</v>
      </c>
      <c r="AD19" s="99">
        <f t="shared" si="7"/>
        <v>11407740.147614643</v>
      </c>
      <c r="AE19" s="99">
        <f>AD19*$AE$2</f>
        <v>333955.01465260139</v>
      </c>
      <c r="AF19" s="221">
        <f t="shared" si="11"/>
        <v>11741695.162267243</v>
      </c>
    </row>
    <row r="20" spans="2:32" x14ac:dyDescent="0.2">
      <c r="B20" s="91" t="s">
        <v>127</v>
      </c>
      <c r="C20" s="91" t="s">
        <v>70</v>
      </c>
      <c r="D20" s="91" t="s">
        <v>128</v>
      </c>
      <c r="E20" s="91" t="s">
        <v>133</v>
      </c>
      <c r="F20" s="91"/>
      <c r="G20" s="91"/>
      <c r="H20" s="91" t="s">
        <v>24</v>
      </c>
      <c r="I20" s="91"/>
      <c r="J20" s="91" t="s">
        <v>138</v>
      </c>
      <c r="K20" s="92">
        <f t="shared" si="0"/>
        <v>14</v>
      </c>
      <c r="L20" s="91"/>
      <c r="M20" s="97" t="s">
        <v>24</v>
      </c>
      <c r="N20" s="91" t="s">
        <v>80</v>
      </c>
      <c r="O20" s="91"/>
      <c r="P20" s="95">
        <v>128.28349456935499</v>
      </c>
      <c r="Q20" s="98">
        <v>1084.0640000000001</v>
      </c>
      <c r="R20" s="99">
        <f t="shared" si="1"/>
        <v>139067.51825683325</v>
      </c>
      <c r="S20" s="99">
        <f t="shared" si="12"/>
        <v>4071.1214049587843</v>
      </c>
      <c r="T20" s="221">
        <f t="shared" si="9"/>
        <v>143138.63966179203</v>
      </c>
      <c r="V20" s="95">
        <v>136.18727617952334</v>
      </c>
      <c r="W20" s="98">
        <v>1300.8768</v>
      </c>
      <c r="X20" s="99">
        <f t="shared" si="4"/>
        <v>177162.86803713455</v>
      </c>
      <c r="Y20" s="99">
        <f>X20*$Y$2</f>
        <v>5186.3408024427545</v>
      </c>
      <c r="Z20" s="221">
        <f t="shared" si="10"/>
        <v>182349.2088395773</v>
      </c>
      <c r="AB20" s="222">
        <f t="shared" si="13"/>
        <v>136.18727617952334</v>
      </c>
      <c r="AC20" s="98">
        <v>1561.05216</v>
      </c>
      <c r="AD20" s="99">
        <f t="shared" si="7"/>
        <v>212595.44164456145</v>
      </c>
      <c r="AE20" s="99">
        <f>AD20*$AE$2</f>
        <v>6223.6089629313046</v>
      </c>
      <c r="AF20" s="221">
        <f t="shared" si="11"/>
        <v>218819.05060749274</v>
      </c>
    </row>
    <row r="21" spans="2:32" x14ac:dyDescent="0.2">
      <c r="B21" s="91" t="s">
        <v>127</v>
      </c>
      <c r="C21" s="91" t="s">
        <v>70</v>
      </c>
      <c r="D21" s="91" t="s">
        <v>128</v>
      </c>
      <c r="E21" s="91"/>
      <c r="F21" s="91"/>
      <c r="G21" s="91"/>
      <c r="H21" s="91"/>
      <c r="I21" s="91"/>
      <c r="J21" s="91"/>
      <c r="K21" s="92">
        <f t="shared" si="0"/>
        <v>15</v>
      </c>
      <c r="L21" s="91"/>
      <c r="M21" s="96" t="s">
        <v>139</v>
      </c>
      <c r="N21" s="91"/>
      <c r="O21" s="91"/>
      <c r="P21" s="95"/>
      <c r="Q21" s="98"/>
      <c r="V21" s="95"/>
      <c r="W21" s="98"/>
      <c r="AC21" s="98"/>
    </row>
    <row r="22" spans="2:32" x14ac:dyDescent="0.2">
      <c r="B22" s="91" t="s">
        <v>127</v>
      </c>
      <c r="C22" s="91" t="s">
        <v>70</v>
      </c>
      <c r="D22" s="91" t="s">
        <v>128</v>
      </c>
      <c r="E22" s="91" t="s">
        <v>133</v>
      </c>
      <c r="F22" s="91"/>
      <c r="G22" s="91"/>
      <c r="H22" s="91" t="s">
        <v>135</v>
      </c>
      <c r="I22" s="91"/>
      <c r="J22" s="91" t="s">
        <v>140</v>
      </c>
      <c r="K22" s="92">
        <f t="shared" si="0"/>
        <v>16</v>
      </c>
      <c r="L22" s="91"/>
      <c r="M22" s="97" t="s">
        <v>53</v>
      </c>
      <c r="N22" s="91" t="s">
        <v>80</v>
      </c>
      <c r="O22" s="91"/>
      <c r="P22" s="95">
        <v>0</v>
      </c>
      <c r="Q22" s="98">
        <v>30665.536355649048</v>
      </c>
      <c r="R22" s="99">
        <f t="shared" si="1"/>
        <v>0</v>
      </c>
      <c r="S22" s="99">
        <f>R22*$S$2</f>
        <v>0</v>
      </c>
      <c r="T22" s="221">
        <f t="shared" ref="T22:T28" si="14">S22+R22</f>
        <v>0</v>
      </c>
      <c r="V22" s="95">
        <v>0</v>
      </c>
      <c r="W22" s="98">
        <v>36798.643626778859</v>
      </c>
      <c r="X22" s="99">
        <f t="shared" si="4"/>
        <v>0</v>
      </c>
      <c r="Y22" s="99">
        <f t="shared" ref="Y22:Y28" si="15">X22*$Y$2</f>
        <v>0</v>
      </c>
      <c r="Z22" s="221">
        <f t="shared" ref="Z22:Z28" si="16">Y22+X22</f>
        <v>0</v>
      </c>
      <c r="AB22" s="222">
        <f>V22</f>
        <v>0</v>
      </c>
      <c r="AC22" s="98">
        <v>44158.372352134633</v>
      </c>
      <c r="AD22" s="99">
        <f t="shared" si="7"/>
        <v>0</v>
      </c>
      <c r="AE22" s="99">
        <f t="shared" ref="AE22:AE28" si="17">AD22*$AE$2</f>
        <v>0</v>
      </c>
      <c r="AF22" s="221">
        <f t="shared" ref="AF22:AF28" si="18">AE22+AD22</f>
        <v>0</v>
      </c>
    </row>
    <row r="23" spans="2:32" x14ac:dyDescent="0.2">
      <c r="B23" s="91" t="s">
        <v>127</v>
      </c>
      <c r="C23" s="91" t="s">
        <v>70</v>
      </c>
      <c r="D23" s="91" t="s">
        <v>128</v>
      </c>
      <c r="E23" s="91" t="s">
        <v>133</v>
      </c>
      <c r="F23" s="91"/>
      <c r="G23" s="91"/>
      <c r="H23" s="91" t="s">
        <v>136</v>
      </c>
      <c r="I23" s="91"/>
      <c r="J23" s="91" t="s">
        <v>140</v>
      </c>
      <c r="K23" s="92">
        <f t="shared" si="0"/>
        <v>17</v>
      </c>
      <c r="L23" s="91"/>
      <c r="M23" s="97" t="s">
        <v>52</v>
      </c>
      <c r="N23" s="91" t="s">
        <v>80</v>
      </c>
      <c r="O23" s="91"/>
      <c r="P23" s="95">
        <v>42.042061544543394</v>
      </c>
      <c r="Q23" s="98">
        <v>30722.492670743319</v>
      </c>
      <c r="R23" s="99">
        <f t="shared" si="1"/>
        <v>1291636.927665174</v>
      </c>
      <c r="S23" s="99">
        <f t="shared" ref="S23" si="19">R23*$S$2</f>
        <v>37811.926246799994</v>
      </c>
      <c r="T23" s="221">
        <f t="shared" si="14"/>
        <v>1329448.853911974</v>
      </c>
      <c r="V23" s="95">
        <v>44.613471654139758</v>
      </c>
      <c r="W23" s="98">
        <v>36866.99120489198</v>
      </c>
      <c r="X23" s="99">
        <f t="shared" si="4"/>
        <v>1644764.4670928682</v>
      </c>
      <c r="Y23" s="99">
        <f t="shared" si="15"/>
        <v>48149.531335786138</v>
      </c>
      <c r="Z23" s="221">
        <f t="shared" si="16"/>
        <v>1692913.9984286544</v>
      </c>
      <c r="AB23" s="222">
        <f t="shared" ref="AB23:AB24" si="20">V23</f>
        <v>44.613471654139758</v>
      </c>
      <c r="AC23" s="98">
        <v>44240.389445870373</v>
      </c>
      <c r="AD23" s="99">
        <f t="shared" si="7"/>
        <v>1973717.3605114415</v>
      </c>
      <c r="AE23" s="99">
        <f t="shared" si="17"/>
        <v>57779.437602943355</v>
      </c>
      <c r="AF23" s="221">
        <f t="shared" si="18"/>
        <v>2031496.7981143848</v>
      </c>
    </row>
    <row r="24" spans="2:32" x14ac:dyDescent="0.2">
      <c r="B24" s="91" t="s">
        <v>127</v>
      </c>
      <c r="C24" s="91" t="s">
        <v>70</v>
      </c>
      <c r="D24" s="91" t="s">
        <v>128</v>
      </c>
      <c r="E24" s="91"/>
      <c r="F24" s="91"/>
      <c r="G24" s="91"/>
      <c r="H24" s="91"/>
      <c r="I24" s="91"/>
      <c r="J24" s="91"/>
      <c r="K24" s="92">
        <f t="shared" si="0"/>
        <v>18</v>
      </c>
      <c r="L24" s="91"/>
      <c r="M24" s="91" t="s">
        <v>141</v>
      </c>
      <c r="N24" s="91" t="s">
        <v>80</v>
      </c>
      <c r="O24" s="91"/>
      <c r="P24" s="95">
        <v>0</v>
      </c>
      <c r="Q24" s="98">
        <v>3000</v>
      </c>
      <c r="R24" s="99">
        <f t="shared" si="1"/>
        <v>0</v>
      </c>
      <c r="S24" s="99">
        <f>R24*$S$2</f>
        <v>0</v>
      </c>
      <c r="T24" s="221">
        <f t="shared" si="14"/>
        <v>0</v>
      </c>
      <c r="V24" s="95">
        <v>0</v>
      </c>
      <c r="W24" s="98">
        <v>3000</v>
      </c>
      <c r="X24" s="99">
        <f t="shared" si="4"/>
        <v>0</v>
      </c>
      <c r="Y24" s="99">
        <f t="shared" si="15"/>
        <v>0</v>
      </c>
      <c r="Z24" s="221">
        <f t="shared" si="16"/>
        <v>0</v>
      </c>
      <c r="AB24" s="222">
        <f t="shared" si="20"/>
        <v>0</v>
      </c>
      <c r="AC24" s="98">
        <v>3000</v>
      </c>
      <c r="AD24" s="99">
        <f t="shared" si="7"/>
        <v>0</v>
      </c>
      <c r="AE24" s="99">
        <f t="shared" si="17"/>
        <v>0</v>
      </c>
      <c r="AF24" s="221">
        <f t="shared" si="18"/>
        <v>0</v>
      </c>
    </row>
    <row r="25" spans="2:32" x14ac:dyDescent="0.2">
      <c r="B25" s="91" t="s">
        <v>127</v>
      </c>
      <c r="C25" s="91" t="s">
        <v>70</v>
      </c>
      <c r="D25" s="91" t="s">
        <v>128</v>
      </c>
      <c r="E25" s="91" t="s">
        <v>142</v>
      </c>
      <c r="F25" s="91"/>
      <c r="G25" s="91"/>
      <c r="H25" s="91" t="s">
        <v>135</v>
      </c>
      <c r="I25" s="91"/>
      <c r="J25" s="91" t="s">
        <v>143</v>
      </c>
      <c r="K25" s="92">
        <f t="shared" si="0"/>
        <v>19</v>
      </c>
      <c r="L25" s="91"/>
      <c r="M25" s="91" t="s">
        <v>144</v>
      </c>
      <c r="N25" s="91" t="s">
        <v>145</v>
      </c>
      <c r="O25" s="91"/>
      <c r="P25" s="95">
        <v>115512</v>
      </c>
      <c r="Q25" s="98">
        <v>1.23</v>
      </c>
      <c r="R25" s="99">
        <f t="shared" si="1"/>
        <v>142079.76</v>
      </c>
      <c r="S25" s="99">
        <f t="shared" ref="S25:S28" si="21">R25*$S$2</f>
        <v>4159.3030450083934</v>
      </c>
      <c r="T25" s="221">
        <f t="shared" si="14"/>
        <v>146239.0630450084</v>
      </c>
      <c r="V25" s="95">
        <v>115512</v>
      </c>
      <c r="W25" s="98">
        <v>1.23</v>
      </c>
      <c r="X25" s="99">
        <f t="shared" si="4"/>
        <v>142079.76</v>
      </c>
      <c r="Y25" s="99">
        <f t="shared" si="15"/>
        <v>4159.3030450083934</v>
      </c>
      <c r="Z25" s="221">
        <f t="shared" si="16"/>
        <v>146239.0630450084</v>
      </c>
      <c r="AB25" s="222">
        <f>V25</f>
        <v>115512</v>
      </c>
      <c r="AC25" s="98">
        <v>1.23</v>
      </c>
      <c r="AD25" s="99">
        <f t="shared" si="7"/>
        <v>142079.76</v>
      </c>
      <c r="AE25" s="99">
        <f t="shared" si="17"/>
        <v>4159.3030450083934</v>
      </c>
      <c r="AF25" s="221">
        <f t="shared" si="18"/>
        <v>146239.0630450084</v>
      </c>
    </row>
    <row r="26" spans="2:32" x14ac:dyDescent="0.2">
      <c r="B26" s="91" t="s">
        <v>127</v>
      </c>
      <c r="C26" s="91" t="s">
        <v>70</v>
      </c>
      <c r="D26" s="91" t="s">
        <v>128</v>
      </c>
      <c r="E26" s="91" t="s">
        <v>142</v>
      </c>
      <c r="F26" s="91"/>
      <c r="G26" s="91"/>
      <c r="H26" s="91" t="s">
        <v>135</v>
      </c>
      <c r="I26" s="91"/>
      <c r="J26" s="91" t="s">
        <v>146</v>
      </c>
      <c r="K26" s="92">
        <f t="shared" si="0"/>
        <v>20</v>
      </c>
      <c r="L26" s="91"/>
      <c r="M26" s="91" t="s">
        <v>147</v>
      </c>
      <c r="N26" s="91" t="s">
        <v>145</v>
      </c>
      <c r="O26" s="91"/>
      <c r="P26" s="95">
        <v>178752</v>
      </c>
      <c r="Q26" s="98">
        <v>3.17</v>
      </c>
      <c r="R26" s="99">
        <f t="shared" si="1"/>
        <v>566643.84</v>
      </c>
      <c r="S26" s="99">
        <f t="shared" si="21"/>
        <v>16588.171666022303</v>
      </c>
      <c r="T26" s="221">
        <f t="shared" si="14"/>
        <v>583232.01166602224</v>
      </c>
      <c r="V26" s="95">
        <v>178752</v>
      </c>
      <c r="W26" s="98">
        <v>3.17</v>
      </c>
      <c r="X26" s="99">
        <f t="shared" si="4"/>
        <v>566643.84</v>
      </c>
      <c r="Y26" s="99">
        <f t="shared" si="15"/>
        <v>16588.171666022303</v>
      </c>
      <c r="Z26" s="221">
        <f t="shared" si="16"/>
        <v>583232.01166602224</v>
      </c>
      <c r="AB26" s="222">
        <f t="shared" ref="AB26:AB28" si="22">V26</f>
        <v>178752</v>
      </c>
      <c r="AC26" s="98">
        <v>3.17</v>
      </c>
      <c r="AD26" s="99">
        <f t="shared" si="7"/>
        <v>566643.84</v>
      </c>
      <c r="AE26" s="99">
        <f t="shared" si="17"/>
        <v>16588.171666022303</v>
      </c>
      <c r="AF26" s="221">
        <f t="shared" si="18"/>
        <v>583232.01166602224</v>
      </c>
    </row>
    <row r="27" spans="2:32" x14ac:dyDescent="0.2">
      <c r="B27" s="91" t="s">
        <v>127</v>
      </c>
      <c r="C27" s="91" t="s">
        <v>70</v>
      </c>
      <c r="D27" s="91" t="s">
        <v>128</v>
      </c>
      <c r="E27" s="91" t="s">
        <v>142</v>
      </c>
      <c r="F27" s="91"/>
      <c r="G27" s="91"/>
      <c r="H27" s="91" t="s">
        <v>136</v>
      </c>
      <c r="I27" s="91"/>
      <c r="J27" s="91" t="s">
        <v>143</v>
      </c>
      <c r="K27" s="92">
        <f t="shared" si="0"/>
        <v>21</v>
      </c>
      <c r="L27" s="91"/>
      <c r="M27" s="91" t="s">
        <v>148</v>
      </c>
      <c r="N27" s="91" t="s">
        <v>145</v>
      </c>
      <c r="O27" s="91"/>
      <c r="P27" s="95">
        <v>96828</v>
      </c>
      <c r="Q27" s="98">
        <v>1.22</v>
      </c>
      <c r="R27" s="99">
        <f t="shared" si="1"/>
        <v>118130.16</v>
      </c>
      <c r="S27" s="99">
        <f t="shared" si="21"/>
        <v>3458.192315325763</v>
      </c>
      <c r="T27" s="221">
        <f t="shared" si="14"/>
        <v>121588.35231532577</v>
      </c>
      <c r="V27" s="95">
        <v>96828</v>
      </c>
      <c r="W27" s="98">
        <v>1.22</v>
      </c>
      <c r="X27" s="99">
        <f t="shared" si="4"/>
        <v>118130.16</v>
      </c>
      <c r="Y27" s="99">
        <f t="shared" si="15"/>
        <v>3458.192315325763</v>
      </c>
      <c r="Z27" s="221">
        <f t="shared" si="16"/>
        <v>121588.35231532577</v>
      </c>
      <c r="AB27" s="222">
        <f t="shared" si="22"/>
        <v>96828</v>
      </c>
      <c r="AC27" s="98">
        <v>1.22</v>
      </c>
      <c r="AD27" s="99">
        <f t="shared" si="7"/>
        <v>118130.16</v>
      </c>
      <c r="AE27" s="99">
        <f t="shared" si="17"/>
        <v>3458.192315325763</v>
      </c>
      <c r="AF27" s="221">
        <f t="shared" si="18"/>
        <v>121588.35231532577</v>
      </c>
    </row>
    <row r="28" spans="2:32" x14ac:dyDescent="0.2">
      <c r="B28" s="91" t="s">
        <v>127</v>
      </c>
      <c r="C28" s="91" t="s">
        <v>70</v>
      </c>
      <c r="D28" s="91" t="s">
        <v>128</v>
      </c>
      <c r="E28" s="91" t="s">
        <v>142</v>
      </c>
      <c r="F28" s="91"/>
      <c r="G28" s="91"/>
      <c r="H28" s="91" t="s">
        <v>136</v>
      </c>
      <c r="I28" s="91"/>
      <c r="J28" s="91" t="s">
        <v>146</v>
      </c>
      <c r="K28" s="92">
        <f t="shared" si="0"/>
        <v>22</v>
      </c>
      <c r="L28" s="91"/>
      <c r="M28" s="91" t="s">
        <v>149</v>
      </c>
      <c r="N28" s="91" t="s">
        <v>145</v>
      </c>
      <c r="O28" s="91"/>
      <c r="P28" s="95">
        <v>780636</v>
      </c>
      <c r="Q28" s="98">
        <v>3.13</v>
      </c>
      <c r="R28" s="99">
        <f t="shared" si="1"/>
        <v>2443390.6799999997</v>
      </c>
      <c r="S28" s="99">
        <f t="shared" si="21"/>
        <v>71528.853198155237</v>
      </c>
      <c r="T28" s="221">
        <f t="shared" si="14"/>
        <v>2514919.533198155</v>
      </c>
      <c r="V28" s="95">
        <v>780636</v>
      </c>
      <c r="W28" s="98">
        <v>3.13</v>
      </c>
      <c r="X28" s="99">
        <f t="shared" si="4"/>
        <v>2443390.6799999997</v>
      </c>
      <c r="Y28" s="99">
        <f t="shared" si="15"/>
        <v>71528.853198155237</v>
      </c>
      <c r="Z28" s="221">
        <f t="shared" si="16"/>
        <v>2514919.533198155</v>
      </c>
      <c r="AB28" s="222">
        <f t="shared" si="22"/>
        <v>780636</v>
      </c>
      <c r="AC28" s="98">
        <v>3.13</v>
      </c>
      <c r="AD28" s="99">
        <f t="shared" si="7"/>
        <v>2443390.6799999997</v>
      </c>
      <c r="AE28" s="99">
        <f t="shared" si="17"/>
        <v>71528.853198155237</v>
      </c>
      <c r="AF28" s="221">
        <f t="shared" si="18"/>
        <v>2514919.533198155</v>
      </c>
    </row>
    <row r="29" spans="2:32" x14ac:dyDescent="0.2">
      <c r="B29" s="91" t="s">
        <v>127</v>
      </c>
      <c r="C29" s="91" t="s">
        <v>70</v>
      </c>
      <c r="D29" s="91" t="s">
        <v>128</v>
      </c>
      <c r="E29" s="91"/>
      <c r="F29" s="91"/>
      <c r="G29" s="91"/>
      <c r="H29" s="91"/>
      <c r="I29" s="91"/>
      <c r="J29" s="91"/>
      <c r="K29" s="92">
        <f t="shared" si="0"/>
        <v>23</v>
      </c>
      <c r="L29" s="91"/>
      <c r="M29" s="91" t="s">
        <v>150</v>
      </c>
      <c r="N29" s="91"/>
      <c r="O29" s="91"/>
      <c r="P29" s="95"/>
      <c r="Q29" s="98"/>
      <c r="V29" s="95"/>
      <c r="W29" s="98"/>
      <c r="AB29" s="222"/>
      <c r="AC29" s="98"/>
    </row>
    <row r="30" spans="2:32" x14ac:dyDescent="0.2">
      <c r="B30" s="91" t="s">
        <v>127</v>
      </c>
      <c r="C30" s="91" t="s">
        <v>70</v>
      </c>
      <c r="D30" s="91" t="s">
        <v>128</v>
      </c>
      <c r="E30" s="91" t="s">
        <v>151</v>
      </c>
      <c r="F30" s="91"/>
      <c r="G30" s="91"/>
      <c r="H30" s="91" t="s">
        <v>21</v>
      </c>
      <c r="I30" s="91"/>
      <c r="J30" s="91"/>
      <c r="K30" s="92">
        <f t="shared" si="0"/>
        <v>24</v>
      </c>
      <c r="L30" s="91"/>
      <c r="M30" s="96" t="s">
        <v>21</v>
      </c>
      <c r="N30" s="91" t="s">
        <v>81</v>
      </c>
      <c r="O30" s="91"/>
      <c r="P30" s="95">
        <v>17283828.143585626</v>
      </c>
      <c r="Q30" s="98">
        <v>24.467445301297225</v>
      </c>
      <c r="R30" s="99">
        <f t="shared" si="1"/>
        <v>422891119.70020288</v>
      </c>
      <c r="S30" s="99">
        <f>R30*$S$2</f>
        <v>12379893.672934575</v>
      </c>
      <c r="T30" s="221">
        <f t="shared" ref="T30:T40" si="23">S30+R30</f>
        <v>435271013.37313747</v>
      </c>
      <c r="V30" s="95">
        <v>16201673.957634857</v>
      </c>
      <c r="W30" s="98">
        <v>24.201438745837763</v>
      </c>
      <c r="X30" s="99">
        <f t="shared" si="4"/>
        <v>392103819.86573488</v>
      </c>
      <c r="Y30" s="99">
        <f>X30*$Y$2</f>
        <v>11478613.223494843</v>
      </c>
      <c r="Z30" s="221">
        <f t="shared" ref="Z30:Z40" si="24">Y30+X30</f>
        <v>403582433.0892297</v>
      </c>
      <c r="AB30" s="222">
        <f t="shared" ref="AB30" si="25">V30</f>
        <v>16201673.957634857</v>
      </c>
      <c r="AC30" s="98">
        <v>23.927284827040111</v>
      </c>
      <c r="AD30" s="99">
        <f t="shared" si="7"/>
        <v>387662067.45916742</v>
      </c>
      <c r="AE30" s="99">
        <f>AD30*$AE$2</f>
        <v>11348583.483088402</v>
      </c>
      <c r="AF30" s="221">
        <f t="shared" ref="AF30:AF40" si="26">AE30+AD30</f>
        <v>399010650.9422558</v>
      </c>
    </row>
    <row r="31" spans="2:32" x14ac:dyDescent="0.2">
      <c r="B31" s="91" t="s">
        <v>127</v>
      </c>
      <c r="C31" s="91" t="s">
        <v>70</v>
      </c>
      <c r="D31" s="91" t="s">
        <v>128</v>
      </c>
      <c r="E31" s="91" t="s">
        <v>151</v>
      </c>
      <c r="F31" s="91"/>
      <c r="G31" s="91"/>
      <c r="H31" s="91" t="s">
        <v>22</v>
      </c>
      <c r="I31" s="91"/>
      <c r="J31" s="91"/>
      <c r="K31" s="92">
        <f t="shared" si="0"/>
        <v>25</v>
      </c>
      <c r="L31" s="91"/>
      <c r="M31" s="96" t="s">
        <v>22</v>
      </c>
      <c r="N31" s="91" t="s">
        <v>81</v>
      </c>
      <c r="O31" s="91"/>
      <c r="P31" s="95">
        <v>2559874.1755888499</v>
      </c>
      <c r="Q31" s="98">
        <v>23.929733468919018</v>
      </c>
      <c r="R31" s="99">
        <f t="shared" si="1"/>
        <v>61257106.735809982</v>
      </c>
      <c r="S31" s="99">
        <f t="shared" ref="S31:S34" si="27">R31*$S$2</f>
        <v>1793266.4763415889</v>
      </c>
      <c r="T31" s="221">
        <f t="shared" si="23"/>
        <v>63050373.212151572</v>
      </c>
      <c r="V31" s="95">
        <v>2512334.0608623801</v>
      </c>
      <c r="W31" s="98">
        <v>23.666435378389984</v>
      </c>
      <c r="X31" s="99">
        <f t="shared" si="4"/>
        <v>59457991.700327605</v>
      </c>
      <c r="Y31" s="99">
        <f>X31*$Y$2</f>
        <v>1740598.4211210406</v>
      </c>
      <c r="Z31" s="221">
        <f t="shared" si="24"/>
        <v>61198590.121448644</v>
      </c>
      <c r="AB31" s="222">
        <f>V31</f>
        <v>2512334.0608623801</v>
      </c>
      <c r="AC31" s="98">
        <v>23.393693593704285</v>
      </c>
      <c r="AD31" s="99">
        <f t="shared" si="7"/>
        <v>58772773.224841334</v>
      </c>
      <c r="AE31" s="99">
        <f>AD31*$AE$2</f>
        <v>1720539.0453761348</v>
      </c>
      <c r="AF31" s="221">
        <f t="shared" si="26"/>
        <v>60493312.270217471</v>
      </c>
    </row>
    <row r="32" spans="2:32" x14ac:dyDescent="0.2">
      <c r="B32" s="91" t="s">
        <v>127</v>
      </c>
      <c r="C32" s="91" t="s">
        <v>70</v>
      </c>
      <c r="D32" s="91" t="s">
        <v>128</v>
      </c>
      <c r="E32" s="91" t="s">
        <v>151</v>
      </c>
      <c r="F32" s="91"/>
      <c r="G32" s="91"/>
      <c r="H32" s="91" t="s">
        <v>135</v>
      </c>
      <c r="I32" s="91"/>
      <c r="J32" s="91"/>
      <c r="K32" s="92">
        <f t="shared" si="0"/>
        <v>26</v>
      </c>
      <c r="L32" s="91"/>
      <c r="M32" s="96" t="s">
        <v>53</v>
      </c>
      <c r="N32" s="91" t="s">
        <v>81</v>
      </c>
      <c r="O32" s="91"/>
      <c r="P32" s="95">
        <v>412144.17055105162</v>
      </c>
      <c r="Q32" s="98">
        <v>14.651512922991254</v>
      </c>
      <c r="R32" s="99">
        <f t="shared" si="1"/>
        <v>6038535.6409642436</v>
      </c>
      <c r="S32" s="99">
        <f t="shared" si="27"/>
        <v>176774.6488229871</v>
      </c>
      <c r="T32" s="221">
        <f t="shared" si="23"/>
        <v>6215310.289787231</v>
      </c>
      <c r="V32" s="95">
        <v>423702.4889033378</v>
      </c>
      <c r="W32" s="98">
        <v>14.646072203465</v>
      </c>
      <c r="X32" s="99">
        <f t="shared" si="4"/>
        <v>6205577.2452661134</v>
      </c>
      <c r="Y32" s="99">
        <f>X32*$Y$2</f>
        <v>181664.69546591397</v>
      </c>
      <c r="Z32" s="221">
        <f t="shared" si="24"/>
        <v>6387241.9407320274</v>
      </c>
      <c r="AB32" s="222">
        <f t="shared" ref="AB32:AB34" si="28">V32</f>
        <v>423702.4889033378</v>
      </c>
      <c r="AC32" s="98">
        <v>14.646072203465</v>
      </c>
      <c r="AD32" s="99">
        <f t="shared" si="7"/>
        <v>6205577.2452661134</v>
      </c>
      <c r="AE32" s="99">
        <f>AD32*$AE$2</f>
        <v>181664.69546591397</v>
      </c>
      <c r="AF32" s="221">
        <f t="shared" si="26"/>
        <v>6387241.9407320274</v>
      </c>
    </row>
    <row r="33" spans="2:32" x14ac:dyDescent="0.2">
      <c r="B33" s="91" t="s">
        <v>127</v>
      </c>
      <c r="C33" s="91" t="s">
        <v>70</v>
      </c>
      <c r="D33" s="91" t="s">
        <v>128</v>
      </c>
      <c r="E33" s="91" t="s">
        <v>151</v>
      </c>
      <c r="F33" s="91"/>
      <c r="G33" s="91"/>
      <c r="H33" s="91" t="s">
        <v>136</v>
      </c>
      <c r="I33" s="91"/>
      <c r="J33" s="91"/>
      <c r="K33" s="92">
        <f t="shared" si="0"/>
        <v>27</v>
      </c>
      <c r="L33" s="91"/>
      <c r="M33" s="96" t="s">
        <v>52</v>
      </c>
      <c r="N33" s="91" t="s">
        <v>81</v>
      </c>
      <c r="O33" s="91"/>
      <c r="P33" s="95">
        <v>2040765.8027397201</v>
      </c>
      <c r="Q33" s="98">
        <v>14.171512922991255</v>
      </c>
      <c r="R33" s="99">
        <f t="shared" si="1"/>
        <v>28920738.946324565</v>
      </c>
      <c r="S33" s="99">
        <f t="shared" si="27"/>
        <v>846637.95577456348</v>
      </c>
      <c r="T33" s="221">
        <f t="shared" si="23"/>
        <v>29767376.902099129</v>
      </c>
      <c r="V33" s="95">
        <v>2098383.773295227</v>
      </c>
      <c r="W33" s="98">
        <v>14.166072203465001</v>
      </c>
      <c r="X33" s="99">
        <f t="shared" si="4"/>
        <v>29725856.043079518</v>
      </c>
      <c r="Y33" s="99">
        <f>X33*$Y$2</f>
        <v>870207.2945186689</v>
      </c>
      <c r="Z33" s="221">
        <f t="shared" si="24"/>
        <v>30596063.337598186</v>
      </c>
      <c r="AB33" s="222">
        <f t="shared" si="28"/>
        <v>2098383.773295227</v>
      </c>
      <c r="AC33" s="98">
        <v>14.166072203465001</v>
      </c>
      <c r="AD33" s="99">
        <f t="shared" si="7"/>
        <v>29725856.043079518</v>
      </c>
      <c r="AE33" s="99">
        <f>AD33*$AE$2</f>
        <v>870207.2945186689</v>
      </c>
      <c r="AF33" s="221">
        <f t="shared" si="26"/>
        <v>30596063.337598186</v>
      </c>
    </row>
    <row r="34" spans="2:32" x14ac:dyDescent="0.2">
      <c r="B34" s="91" t="s">
        <v>127</v>
      </c>
      <c r="C34" s="91" t="s">
        <v>70</v>
      </c>
      <c r="D34" s="91" t="s">
        <v>128</v>
      </c>
      <c r="E34" s="91" t="s">
        <v>151</v>
      </c>
      <c r="F34" s="91"/>
      <c r="G34" s="91"/>
      <c r="H34" s="91" t="s">
        <v>24</v>
      </c>
      <c r="I34" s="91"/>
      <c r="J34" s="91"/>
      <c r="K34" s="92">
        <f t="shared" si="0"/>
        <v>28</v>
      </c>
      <c r="L34" s="91"/>
      <c r="M34" s="96" t="s">
        <v>24</v>
      </c>
      <c r="N34" s="91" t="s">
        <v>81</v>
      </c>
      <c r="O34" s="91"/>
      <c r="P34" s="95">
        <v>692460.89606348251</v>
      </c>
      <c r="Q34" s="98">
        <v>14.101512922991255</v>
      </c>
      <c r="R34" s="99">
        <f t="shared" si="1"/>
        <v>9764746.2745053023</v>
      </c>
      <c r="S34" s="99">
        <f t="shared" si="27"/>
        <v>285857.31643468619</v>
      </c>
      <c r="T34" s="221">
        <f t="shared" si="23"/>
        <v>10050603.590939989</v>
      </c>
      <c r="V34" s="95">
        <v>711720.84364771575</v>
      </c>
      <c r="W34" s="98">
        <v>14.096072203465001</v>
      </c>
      <c r="X34" s="99">
        <f t="shared" si="4"/>
        <v>10032468.400769226</v>
      </c>
      <c r="Y34" s="99">
        <f>X34*$Y$2</f>
        <v>293694.72730155184</v>
      </c>
      <c r="Z34" s="221">
        <f t="shared" si="24"/>
        <v>10326163.128070777</v>
      </c>
      <c r="AB34" s="222">
        <f t="shared" si="28"/>
        <v>711720.84364771575</v>
      </c>
      <c r="AC34" s="98">
        <v>14.096072203465001</v>
      </c>
      <c r="AD34" s="99">
        <f t="shared" si="7"/>
        <v>10032468.400769226</v>
      </c>
      <c r="AE34" s="99">
        <f>AD34*$AE$2</f>
        <v>293694.72730155184</v>
      </c>
      <c r="AF34" s="221">
        <f t="shared" si="26"/>
        <v>10326163.128070777</v>
      </c>
    </row>
    <row r="35" spans="2:32" x14ac:dyDescent="0.2">
      <c r="B35" s="91" t="s">
        <v>127</v>
      </c>
      <c r="C35" s="91" t="s">
        <v>70</v>
      </c>
      <c r="D35" s="91" t="s">
        <v>128</v>
      </c>
      <c r="E35" s="91"/>
      <c r="F35" s="91"/>
      <c r="G35" s="91"/>
      <c r="H35" s="91"/>
      <c r="I35" s="91"/>
      <c r="J35" s="91"/>
      <c r="K35" s="92">
        <f t="shared" si="0"/>
        <v>29</v>
      </c>
      <c r="L35" s="91"/>
      <c r="M35" s="91" t="s">
        <v>152</v>
      </c>
      <c r="N35" s="91"/>
      <c r="O35" s="91"/>
      <c r="P35" s="95"/>
      <c r="Q35" s="98"/>
      <c r="V35" s="95"/>
      <c r="W35" s="98"/>
      <c r="AC35" s="98"/>
    </row>
    <row r="36" spans="2:32" x14ac:dyDescent="0.2">
      <c r="B36" s="91" t="s">
        <v>127</v>
      </c>
      <c r="C36" s="91" t="s">
        <v>70</v>
      </c>
      <c r="D36" s="91" t="s">
        <v>128</v>
      </c>
      <c r="E36" s="91" t="s">
        <v>153</v>
      </c>
      <c r="F36" s="91"/>
      <c r="G36" s="91"/>
      <c r="H36" s="91" t="s">
        <v>21</v>
      </c>
      <c r="I36" s="91"/>
      <c r="J36" s="91"/>
      <c r="K36" s="92">
        <f t="shared" si="0"/>
        <v>30</v>
      </c>
      <c r="L36" s="91"/>
      <c r="M36" s="96" t="s">
        <v>21</v>
      </c>
      <c r="N36" s="91" t="s">
        <v>81</v>
      </c>
      <c r="O36" s="91"/>
      <c r="P36" s="95">
        <v>17038456.105431214</v>
      </c>
      <c r="Q36" s="98">
        <v>0</v>
      </c>
      <c r="R36" s="99">
        <f t="shared" si="1"/>
        <v>0</v>
      </c>
      <c r="S36" s="99">
        <f>R36*$S$2</f>
        <v>0</v>
      </c>
      <c r="T36" s="221">
        <f t="shared" si="23"/>
        <v>0</v>
      </c>
      <c r="V36" s="95">
        <v>16089784.280364832</v>
      </c>
      <c r="W36" s="98">
        <v>0</v>
      </c>
      <c r="X36" s="99">
        <f t="shared" si="4"/>
        <v>0</v>
      </c>
      <c r="Y36" s="99">
        <f>X36*$Y$2</f>
        <v>0</v>
      </c>
      <c r="Z36" s="221">
        <f t="shared" si="24"/>
        <v>0</v>
      </c>
      <c r="AB36" s="222">
        <f t="shared" ref="AB36" si="29">V36</f>
        <v>16089784.280364832</v>
      </c>
      <c r="AC36" s="98">
        <v>0</v>
      </c>
      <c r="AD36" s="99">
        <f t="shared" si="7"/>
        <v>0</v>
      </c>
      <c r="AE36" s="99">
        <f>AD36*$AE$2</f>
        <v>0</v>
      </c>
      <c r="AF36" s="221">
        <f t="shared" si="26"/>
        <v>0</v>
      </c>
    </row>
    <row r="37" spans="2:32" x14ac:dyDescent="0.2">
      <c r="B37" s="91" t="s">
        <v>127</v>
      </c>
      <c r="C37" s="91" t="s">
        <v>70</v>
      </c>
      <c r="D37" s="91" t="s">
        <v>128</v>
      </c>
      <c r="E37" s="91" t="s">
        <v>153</v>
      </c>
      <c r="F37" s="91"/>
      <c r="G37" s="91"/>
      <c r="H37" s="91" t="s">
        <v>22</v>
      </c>
      <c r="I37" s="91"/>
      <c r="J37" s="91"/>
      <c r="K37" s="92">
        <f t="shared" si="0"/>
        <v>31</v>
      </c>
      <c r="L37" s="91"/>
      <c r="M37" s="96" t="s">
        <v>22</v>
      </c>
      <c r="N37" s="91" t="s">
        <v>81</v>
      </c>
      <c r="O37" s="91"/>
      <c r="P37" s="95">
        <v>2541708.3982080081</v>
      </c>
      <c r="Q37" s="98">
        <v>0</v>
      </c>
      <c r="R37" s="99">
        <f t="shared" si="1"/>
        <v>0</v>
      </c>
      <c r="S37" s="99">
        <f t="shared" ref="S37:S40" si="30">R37*$S$2</f>
        <v>0</v>
      </c>
      <c r="T37" s="221">
        <f t="shared" si="23"/>
        <v>0</v>
      </c>
      <c r="V37" s="95">
        <v>2496028.0735820038</v>
      </c>
      <c r="W37" s="98">
        <v>0</v>
      </c>
      <c r="X37" s="99">
        <f t="shared" si="4"/>
        <v>0</v>
      </c>
      <c r="Y37" s="99">
        <f>X37*$Y$2</f>
        <v>0</v>
      </c>
      <c r="Z37" s="221">
        <f t="shared" si="24"/>
        <v>0</v>
      </c>
      <c r="AB37" s="222">
        <f>V37</f>
        <v>2496028.0735820038</v>
      </c>
      <c r="AC37" s="98">
        <v>0</v>
      </c>
      <c r="AD37" s="99">
        <f t="shared" si="7"/>
        <v>0</v>
      </c>
      <c r="AE37" s="99">
        <f>AD37*$AE$2</f>
        <v>0</v>
      </c>
      <c r="AF37" s="221">
        <f t="shared" si="26"/>
        <v>0</v>
      </c>
    </row>
    <row r="38" spans="2:32" x14ac:dyDescent="0.2">
      <c r="B38" s="91" t="s">
        <v>127</v>
      </c>
      <c r="C38" s="91" t="s">
        <v>70</v>
      </c>
      <c r="D38" s="91" t="s">
        <v>128</v>
      </c>
      <c r="E38" s="91" t="s">
        <v>153</v>
      </c>
      <c r="F38" s="91"/>
      <c r="G38" s="91"/>
      <c r="H38" s="91" t="s">
        <v>135</v>
      </c>
      <c r="I38" s="91"/>
      <c r="J38" s="91"/>
      <c r="K38" s="92">
        <f t="shared" si="0"/>
        <v>32</v>
      </c>
      <c r="L38" s="91"/>
      <c r="M38" s="96" t="s">
        <v>53</v>
      </c>
      <c r="N38" s="91" t="s">
        <v>81</v>
      </c>
      <c r="O38" s="91"/>
      <c r="P38" s="95">
        <v>411056.53298754717</v>
      </c>
      <c r="Q38" s="98">
        <v>0</v>
      </c>
      <c r="R38" s="99">
        <f t="shared" si="1"/>
        <v>0</v>
      </c>
      <c r="S38" s="99">
        <f t="shared" si="30"/>
        <v>0</v>
      </c>
      <c r="T38" s="221">
        <f t="shared" si="23"/>
        <v>0</v>
      </c>
      <c r="V38" s="95">
        <v>422584.34924345743</v>
      </c>
      <c r="W38" s="98">
        <v>0</v>
      </c>
      <c r="X38" s="99">
        <f t="shared" si="4"/>
        <v>0</v>
      </c>
      <c r="Y38" s="99">
        <f>X38*$Y$2</f>
        <v>0</v>
      </c>
      <c r="Z38" s="221">
        <f t="shared" si="24"/>
        <v>0</v>
      </c>
      <c r="AB38" s="222">
        <f t="shared" ref="AB38:AB40" si="31">V38</f>
        <v>422584.34924345743</v>
      </c>
      <c r="AC38" s="98">
        <v>0</v>
      </c>
      <c r="AD38" s="99">
        <f t="shared" si="7"/>
        <v>0</v>
      </c>
      <c r="AE38" s="99">
        <f>AD38*$AE$2</f>
        <v>0</v>
      </c>
      <c r="AF38" s="221">
        <f t="shared" si="26"/>
        <v>0</v>
      </c>
    </row>
    <row r="39" spans="2:32" x14ac:dyDescent="0.2">
      <c r="B39" s="91" t="s">
        <v>127</v>
      </c>
      <c r="C39" s="91" t="s">
        <v>70</v>
      </c>
      <c r="D39" s="91" t="s">
        <v>128</v>
      </c>
      <c r="E39" s="91" t="s">
        <v>153</v>
      </c>
      <c r="F39" s="91"/>
      <c r="G39" s="91"/>
      <c r="H39" s="91" t="s">
        <v>136</v>
      </c>
      <c r="I39" s="91"/>
      <c r="J39" s="91"/>
      <c r="K39" s="92">
        <f t="shared" si="0"/>
        <v>33</v>
      </c>
      <c r="L39" s="91"/>
      <c r="M39" s="96" t="s">
        <v>52</v>
      </c>
      <c r="N39" s="91" t="s">
        <v>81</v>
      </c>
      <c r="O39" s="91"/>
      <c r="P39" s="95">
        <v>2030483.9934821243</v>
      </c>
      <c r="Q39" s="98">
        <v>0</v>
      </c>
      <c r="R39" s="99">
        <f t="shared" si="1"/>
        <v>0</v>
      </c>
      <c r="S39" s="99">
        <f t="shared" si="30"/>
        <v>0</v>
      </c>
      <c r="T39" s="221">
        <f t="shared" si="23"/>
        <v>0</v>
      </c>
      <c r="V39" s="95">
        <v>2087811.672529283</v>
      </c>
      <c r="W39" s="98">
        <v>0</v>
      </c>
      <c r="X39" s="99">
        <f t="shared" si="4"/>
        <v>0</v>
      </c>
      <c r="Y39" s="99">
        <f>X39*$Y$2</f>
        <v>0</v>
      </c>
      <c r="Z39" s="221">
        <f t="shared" si="24"/>
        <v>0</v>
      </c>
      <c r="AB39" s="222">
        <f t="shared" si="31"/>
        <v>2087811.672529283</v>
      </c>
      <c r="AC39" s="98">
        <v>0</v>
      </c>
      <c r="AD39" s="99">
        <f t="shared" si="7"/>
        <v>0</v>
      </c>
      <c r="AE39" s="99">
        <f>AD39*$AE$2</f>
        <v>0</v>
      </c>
      <c r="AF39" s="221">
        <f t="shared" si="26"/>
        <v>0</v>
      </c>
    </row>
    <row r="40" spans="2:32" x14ac:dyDescent="0.2">
      <c r="B40" s="91" t="s">
        <v>127</v>
      </c>
      <c r="C40" s="91" t="s">
        <v>70</v>
      </c>
      <c r="D40" s="91" t="s">
        <v>128</v>
      </c>
      <c r="E40" s="91" t="s">
        <v>153</v>
      </c>
      <c r="F40" s="91"/>
      <c r="G40" s="91"/>
      <c r="H40" s="91" t="s">
        <v>24</v>
      </c>
      <c r="I40" s="91"/>
      <c r="J40" s="91"/>
      <c r="K40" s="92">
        <f t="shared" si="0"/>
        <v>34</v>
      </c>
      <c r="L40" s="91"/>
      <c r="M40" s="96" t="s">
        <v>24</v>
      </c>
      <c r="N40" s="91" t="s">
        <v>81</v>
      </c>
      <c r="O40" s="91"/>
      <c r="P40" s="95">
        <v>674778.12478596764</v>
      </c>
      <c r="Q40" s="98">
        <v>0</v>
      </c>
      <c r="R40" s="99">
        <f t="shared" si="1"/>
        <v>0</v>
      </c>
      <c r="S40" s="99">
        <f t="shared" si="30"/>
        <v>0</v>
      </c>
      <c r="T40" s="221">
        <f t="shared" si="23"/>
        <v>0</v>
      </c>
      <c r="V40" s="95">
        <v>693546.15537294652</v>
      </c>
      <c r="W40" s="98">
        <v>0</v>
      </c>
      <c r="X40" s="99">
        <f t="shared" si="4"/>
        <v>0</v>
      </c>
      <c r="Y40" s="99">
        <f>X40*$Y$2</f>
        <v>0</v>
      </c>
      <c r="Z40" s="221">
        <f t="shared" si="24"/>
        <v>0</v>
      </c>
      <c r="AB40" s="222">
        <f t="shared" si="31"/>
        <v>693546.15537294652</v>
      </c>
      <c r="AC40" s="98">
        <v>0</v>
      </c>
      <c r="AD40" s="99">
        <f t="shared" si="7"/>
        <v>0</v>
      </c>
      <c r="AE40" s="99">
        <f>AD40*$AE$2</f>
        <v>0</v>
      </c>
      <c r="AF40" s="221">
        <f t="shared" si="26"/>
        <v>0</v>
      </c>
    </row>
    <row r="41" spans="2:32" x14ac:dyDescent="0.2">
      <c r="B41" s="91" t="s">
        <v>127</v>
      </c>
      <c r="C41" s="91" t="s">
        <v>70</v>
      </c>
      <c r="D41" s="91" t="s">
        <v>128</v>
      </c>
      <c r="E41" s="91"/>
      <c r="F41" s="91"/>
      <c r="G41" s="91"/>
      <c r="H41" s="91"/>
      <c r="I41" s="91"/>
      <c r="J41" s="91"/>
      <c r="K41" s="92">
        <f t="shared" si="0"/>
        <v>35</v>
      </c>
      <c r="L41" s="91"/>
      <c r="M41" s="91" t="s">
        <v>154</v>
      </c>
      <c r="N41" s="91"/>
      <c r="O41" s="91"/>
      <c r="P41" s="95"/>
      <c r="Q41" s="98"/>
      <c r="V41" s="95"/>
      <c r="W41" s="98"/>
      <c r="AC41" s="98"/>
    </row>
    <row r="42" spans="2:32" x14ac:dyDescent="0.2">
      <c r="B42" s="91" t="s">
        <v>127</v>
      </c>
      <c r="C42" s="91" t="s">
        <v>70</v>
      </c>
      <c r="D42" s="91" t="s">
        <v>128</v>
      </c>
      <c r="E42" s="91"/>
      <c r="F42" s="91"/>
      <c r="G42" s="91"/>
      <c r="H42" s="91"/>
      <c r="I42" s="91"/>
      <c r="J42" s="91"/>
      <c r="K42" s="92">
        <f t="shared" si="0"/>
        <v>36</v>
      </c>
      <c r="L42" s="91"/>
      <c r="M42" s="96" t="s">
        <v>155</v>
      </c>
      <c r="N42" s="91"/>
      <c r="O42" s="91"/>
      <c r="P42" s="95"/>
      <c r="Q42" s="98"/>
      <c r="V42" s="95"/>
      <c r="W42" s="98"/>
      <c r="AC42" s="98"/>
    </row>
    <row r="43" spans="2:32" x14ac:dyDescent="0.2">
      <c r="B43" s="91" t="s">
        <v>127</v>
      </c>
      <c r="C43" s="91" t="s">
        <v>70</v>
      </c>
      <c r="D43" s="91" t="s">
        <v>128</v>
      </c>
      <c r="E43" s="91" t="s">
        <v>156</v>
      </c>
      <c r="F43" s="91" t="s">
        <v>155</v>
      </c>
      <c r="G43" s="91"/>
      <c r="H43" s="91" t="s">
        <v>21</v>
      </c>
      <c r="I43" s="91"/>
      <c r="J43" s="91"/>
      <c r="K43" s="92">
        <f t="shared" si="0"/>
        <v>37</v>
      </c>
      <c r="L43" s="91"/>
      <c r="M43" s="97" t="s">
        <v>21</v>
      </c>
      <c r="N43" s="91" t="s">
        <v>81</v>
      </c>
      <c r="O43" s="91"/>
      <c r="P43" s="95">
        <v>6964820.7940105591</v>
      </c>
      <c r="Q43" s="98">
        <v>19.124081885129723</v>
      </c>
      <c r="R43" s="99">
        <f t="shared" ref="R43:R47" si="32">P43*Q43</f>
        <v>133195803.17991215</v>
      </c>
      <c r="S43" s="99">
        <f>R43*$S$2</f>
        <v>3899230.3319526105</v>
      </c>
      <c r="T43" s="221">
        <f t="shared" ref="T43:T47" si="33">S43+R43</f>
        <v>137095033.51186475</v>
      </c>
      <c r="V43" s="95">
        <v>6708075.2942540236</v>
      </c>
      <c r="W43" s="98">
        <v>18.748369231918005</v>
      </c>
      <c r="X43" s="99">
        <f t="shared" ref="X43:X47" si="34">V43*W43</f>
        <v>125765472.45218146</v>
      </c>
      <c r="Y43" s="99">
        <f>X43*$Y$2</f>
        <v>3681711.6845304184</v>
      </c>
      <c r="Z43" s="221">
        <f t="shared" ref="Z43:Z47" si="35">Y43+X43</f>
        <v>129447184.13671188</v>
      </c>
      <c r="AB43" s="222">
        <f t="shared" ref="AB43" si="36">V43</f>
        <v>6708075.2942540236</v>
      </c>
      <c r="AC43" s="98">
        <v>18.311835127808624</v>
      </c>
      <c r="AD43" s="99">
        <f t="shared" ref="AD43:AD47" si="37">AB43*AC43</f>
        <v>122837168.813306</v>
      </c>
      <c r="AE43" s="99">
        <f>AD43*$AE$2</f>
        <v>3595987.2840817985</v>
      </c>
      <c r="AF43" s="221">
        <f t="shared" ref="AF43:AF47" si="38">AE43+AD43</f>
        <v>126433156.09738781</v>
      </c>
    </row>
    <row r="44" spans="2:32" x14ac:dyDescent="0.2">
      <c r="B44" s="91" t="s">
        <v>127</v>
      </c>
      <c r="C44" s="91" t="s">
        <v>70</v>
      </c>
      <c r="D44" s="91" t="s">
        <v>128</v>
      </c>
      <c r="E44" s="91" t="s">
        <v>156</v>
      </c>
      <c r="F44" s="91" t="s">
        <v>155</v>
      </c>
      <c r="G44" s="91"/>
      <c r="H44" s="91" t="s">
        <v>22</v>
      </c>
      <c r="I44" s="91"/>
      <c r="J44" s="91"/>
      <c r="K44" s="92">
        <f t="shared" si="0"/>
        <v>38</v>
      </c>
      <c r="L44" s="91"/>
      <c r="M44" s="97" t="s">
        <v>22</v>
      </c>
      <c r="N44" s="91" t="s">
        <v>81</v>
      </c>
      <c r="O44" s="91"/>
      <c r="P44" s="95">
        <v>1041772.5294418911</v>
      </c>
      <c r="Q44" s="98">
        <v>18.929109774497228</v>
      </c>
      <c r="R44" s="99">
        <f t="shared" si="32"/>
        <v>19719826.569861203</v>
      </c>
      <c r="S44" s="99">
        <f t="shared" ref="S44:S47" si="39">R44*$S$2</f>
        <v>577286.55157540471</v>
      </c>
      <c r="T44" s="221">
        <f t="shared" si="33"/>
        <v>20297113.121436607</v>
      </c>
      <c r="V44" s="95">
        <v>1037741.1992271073</v>
      </c>
      <c r="W44" s="98">
        <v>18.552104988193694</v>
      </c>
      <c r="X44" s="99">
        <f t="shared" si="34"/>
        <v>19252283.678635325</v>
      </c>
      <c r="Y44" s="99">
        <f>X44*$Y$2</f>
        <v>563599.50303909089</v>
      </c>
      <c r="Z44" s="221">
        <f t="shared" si="35"/>
        <v>19815883.181674417</v>
      </c>
      <c r="AB44" s="222">
        <f>V44</f>
        <v>1037741.1992271073</v>
      </c>
      <c r="AC44" s="98">
        <v>18.117819419148663</v>
      </c>
      <c r="AD44" s="99">
        <f t="shared" si="37"/>
        <v>18801607.651407506</v>
      </c>
      <c r="AE44" s="99">
        <f>AD44*$AE$2</f>
        <v>550406.22222019767</v>
      </c>
      <c r="AF44" s="221">
        <f t="shared" si="38"/>
        <v>19352013.873627704</v>
      </c>
    </row>
    <row r="45" spans="2:32" x14ac:dyDescent="0.2">
      <c r="B45" s="91" t="s">
        <v>127</v>
      </c>
      <c r="C45" s="91" t="s">
        <v>70</v>
      </c>
      <c r="D45" s="91" t="s">
        <v>128</v>
      </c>
      <c r="E45" s="91" t="s">
        <v>156</v>
      </c>
      <c r="F45" s="91" t="s">
        <v>155</v>
      </c>
      <c r="G45" s="91"/>
      <c r="H45" s="91" t="s">
        <v>135</v>
      </c>
      <c r="I45" s="91"/>
      <c r="J45" s="91"/>
      <c r="K45" s="92">
        <f t="shared" si="0"/>
        <v>39</v>
      </c>
      <c r="L45" s="91"/>
      <c r="M45" s="97" t="s">
        <v>53</v>
      </c>
      <c r="N45" s="91" t="s">
        <v>81</v>
      </c>
      <c r="O45" s="91"/>
      <c r="P45" s="95">
        <v>179229.67704342108</v>
      </c>
      <c r="Q45" s="98">
        <v>2.95</v>
      </c>
      <c r="R45" s="99">
        <f t="shared" si="32"/>
        <v>528727.54727809224</v>
      </c>
      <c r="S45" s="99">
        <f t="shared" si="39"/>
        <v>15478.194060671192</v>
      </c>
      <c r="T45" s="221">
        <f t="shared" si="33"/>
        <v>544205.74133876339</v>
      </c>
      <c r="V45" s="95">
        <v>184515.17049836856</v>
      </c>
      <c r="W45" s="98">
        <v>2.95</v>
      </c>
      <c r="X45" s="99">
        <f t="shared" si="34"/>
        <v>544319.75297018734</v>
      </c>
      <c r="Y45" s="99">
        <f>X45*$Y$2</f>
        <v>15934.646891204748</v>
      </c>
      <c r="Z45" s="221">
        <f t="shared" si="35"/>
        <v>560254.3998613921</v>
      </c>
      <c r="AB45" s="222">
        <f t="shared" ref="AB45:AB47" si="40">V45</f>
        <v>184515.17049836856</v>
      </c>
      <c r="AC45" s="98">
        <v>2.95</v>
      </c>
      <c r="AD45" s="99">
        <f t="shared" si="37"/>
        <v>544319.75297018734</v>
      </c>
      <c r="AE45" s="99">
        <f>AD45*$AE$2</f>
        <v>15934.646891204748</v>
      </c>
      <c r="AF45" s="221">
        <f t="shared" si="38"/>
        <v>560254.3998613921</v>
      </c>
    </row>
    <row r="46" spans="2:32" x14ac:dyDescent="0.2">
      <c r="B46" s="91" t="s">
        <v>127</v>
      </c>
      <c r="C46" s="91" t="s">
        <v>70</v>
      </c>
      <c r="D46" s="91" t="s">
        <v>128</v>
      </c>
      <c r="E46" s="91" t="s">
        <v>156</v>
      </c>
      <c r="F46" s="91" t="s">
        <v>155</v>
      </c>
      <c r="G46" s="91"/>
      <c r="H46" s="91" t="s">
        <v>136</v>
      </c>
      <c r="I46" s="91"/>
      <c r="J46" s="91"/>
      <c r="K46" s="92">
        <f t="shared" si="0"/>
        <v>40</v>
      </c>
      <c r="L46" s="91"/>
      <c r="M46" s="97" t="s">
        <v>52</v>
      </c>
      <c r="N46" s="91" t="s">
        <v>81</v>
      </c>
      <c r="O46" s="91"/>
      <c r="P46" s="95">
        <v>826975.81047192577</v>
      </c>
      <c r="Q46" s="98">
        <v>2.84</v>
      </c>
      <c r="R46" s="99">
        <f t="shared" si="32"/>
        <v>2348611.3017402692</v>
      </c>
      <c r="S46" s="99">
        <f t="shared" si="39"/>
        <v>68754.241553261556</v>
      </c>
      <c r="T46" s="221">
        <f t="shared" si="33"/>
        <v>2417365.5432935306</v>
      </c>
      <c r="V46" s="95">
        <v>851580.07436893298</v>
      </c>
      <c r="W46" s="98">
        <v>2.84</v>
      </c>
      <c r="X46" s="99">
        <f t="shared" si="34"/>
        <v>2418487.4112077695</v>
      </c>
      <c r="Y46" s="99">
        <f>X46*$Y$2</f>
        <v>70799.824364504428</v>
      </c>
      <c r="Z46" s="221">
        <f t="shared" si="35"/>
        <v>2489287.2355722738</v>
      </c>
      <c r="AB46" s="222">
        <f t="shared" si="40"/>
        <v>851580.07436893298</v>
      </c>
      <c r="AC46" s="98">
        <v>2.84</v>
      </c>
      <c r="AD46" s="99">
        <f t="shared" si="37"/>
        <v>2418487.4112077695</v>
      </c>
      <c r="AE46" s="99">
        <f>AD46*$AE$2</f>
        <v>70799.824364504428</v>
      </c>
      <c r="AF46" s="221">
        <f t="shared" si="38"/>
        <v>2489287.2355722738</v>
      </c>
    </row>
    <row r="47" spans="2:32" x14ac:dyDescent="0.2">
      <c r="B47" s="91" t="s">
        <v>127</v>
      </c>
      <c r="C47" s="91" t="s">
        <v>70</v>
      </c>
      <c r="D47" s="91" t="s">
        <v>128</v>
      </c>
      <c r="E47" s="91" t="s">
        <v>156</v>
      </c>
      <c r="F47" s="91" t="s">
        <v>155</v>
      </c>
      <c r="G47" s="91"/>
      <c r="H47" s="91" t="s">
        <v>24</v>
      </c>
      <c r="I47" s="91"/>
      <c r="J47" s="91"/>
      <c r="K47" s="92">
        <f t="shared" si="0"/>
        <v>41</v>
      </c>
      <c r="L47" s="91"/>
      <c r="M47" s="97" t="s">
        <v>24</v>
      </c>
      <c r="N47" s="91" t="s">
        <v>81</v>
      </c>
      <c r="O47" s="91"/>
      <c r="P47" s="95">
        <v>294243.86497131689</v>
      </c>
      <c r="Q47" s="98">
        <v>2.83</v>
      </c>
      <c r="R47" s="99">
        <f t="shared" si="32"/>
        <v>832710.13786882686</v>
      </c>
      <c r="S47" s="99">
        <f t="shared" si="39"/>
        <v>24377.109111439735</v>
      </c>
      <c r="T47" s="221">
        <f t="shared" si="33"/>
        <v>857087.24698026665</v>
      </c>
      <c r="V47" s="95">
        <v>303164.7113514666</v>
      </c>
      <c r="W47" s="98">
        <v>2.83</v>
      </c>
      <c r="X47" s="99">
        <f t="shared" si="34"/>
        <v>857956.13312465046</v>
      </c>
      <c r="Y47" s="99">
        <f>X47*$Y$2</f>
        <v>25116.171064682156</v>
      </c>
      <c r="Z47" s="221">
        <f t="shared" si="35"/>
        <v>883072.30418933264</v>
      </c>
      <c r="AB47" s="222">
        <f t="shared" si="40"/>
        <v>303164.7113514666</v>
      </c>
      <c r="AC47" s="98">
        <v>2.83</v>
      </c>
      <c r="AD47" s="99">
        <f t="shared" si="37"/>
        <v>857956.13312465046</v>
      </c>
      <c r="AE47" s="99">
        <f>AD47*$AE$2</f>
        <v>25116.171064682156</v>
      </c>
      <c r="AF47" s="221">
        <f t="shared" si="38"/>
        <v>883072.30418933264</v>
      </c>
    </row>
    <row r="48" spans="2:32" x14ac:dyDescent="0.2">
      <c r="B48" s="91" t="s">
        <v>127</v>
      </c>
      <c r="C48" s="91" t="s">
        <v>70</v>
      </c>
      <c r="D48" s="91" t="s">
        <v>128</v>
      </c>
      <c r="E48" s="91"/>
      <c r="F48" s="91"/>
      <c r="G48" s="91"/>
      <c r="H48" s="91"/>
      <c r="I48" s="91"/>
      <c r="J48" s="91"/>
      <c r="K48" s="92">
        <f t="shared" si="0"/>
        <v>42</v>
      </c>
      <c r="L48" s="91"/>
      <c r="M48" s="96" t="s">
        <v>157</v>
      </c>
      <c r="N48" s="91"/>
      <c r="O48" s="91"/>
      <c r="P48" s="95"/>
      <c r="Q48" s="98"/>
      <c r="V48" s="95"/>
      <c r="W48" s="98"/>
      <c r="AC48" s="98"/>
    </row>
    <row r="49" spans="2:32" x14ac:dyDescent="0.2">
      <c r="B49" s="91" t="s">
        <v>127</v>
      </c>
      <c r="C49" s="91" t="s">
        <v>70</v>
      </c>
      <c r="D49" s="91" t="s">
        <v>128</v>
      </c>
      <c r="E49" s="91" t="s">
        <v>156</v>
      </c>
      <c r="F49" s="91" t="s">
        <v>157</v>
      </c>
      <c r="G49" s="91"/>
      <c r="H49" s="91" t="s">
        <v>21</v>
      </c>
      <c r="I49" s="91"/>
      <c r="J49" s="91"/>
      <c r="K49" s="92">
        <f t="shared" si="0"/>
        <v>43</v>
      </c>
      <c r="L49" s="91"/>
      <c r="M49" s="97" t="s">
        <v>21</v>
      </c>
      <c r="N49" s="91" t="s">
        <v>81</v>
      </c>
      <c r="O49" s="91"/>
      <c r="P49" s="95">
        <v>8333126.8584744409</v>
      </c>
      <c r="Q49" s="98">
        <v>19.209718724608091</v>
      </c>
      <c r="R49" s="99">
        <f t="shared" ref="R49:R53" si="41">P49*Q49</f>
        <v>160077023.04777107</v>
      </c>
      <c r="S49" s="99">
        <f>R49*$S$2</f>
        <v>4686162.5427750787</v>
      </c>
      <c r="T49" s="221">
        <f t="shared" ref="T49:T53" si="42">S49+R49</f>
        <v>164763185.59054613</v>
      </c>
      <c r="V49" s="95">
        <v>8023329.4616440525</v>
      </c>
      <c r="W49" s="98">
        <v>19.073265718727029</v>
      </c>
      <c r="X49" s="99">
        <f t="shared" ref="X49:X53" si="43">V49*W49</f>
        <v>153031094.7708281</v>
      </c>
      <c r="Y49" s="99">
        <f>X49*$Y$2</f>
        <v>4479897.0554375472</v>
      </c>
      <c r="Z49" s="221">
        <f t="shared" ref="Z49:Z53" si="44">Y49+X49</f>
        <v>157510991.82626563</v>
      </c>
      <c r="AB49" s="222">
        <f t="shared" ref="AB49" si="45">V49</f>
        <v>8023329.4616440525</v>
      </c>
      <c r="AC49" s="98">
        <v>18.561426150117512</v>
      </c>
      <c r="AD49" s="99">
        <f t="shared" ref="AD49:AD53" si="46">AB49*AC49</f>
        <v>148924437.28036818</v>
      </c>
      <c r="AE49" s="99">
        <f>AD49*$AE$2</f>
        <v>4359677.025470742</v>
      </c>
      <c r="AF49" s="221">
        <f t="shared" ref="AF49:AF53" si="47">AE49+AD49</f>
        <v>153284114.30583891</v>
      </c>
    </row>
    <row r="50" spans="2:32" x14ac:dyDescent="0.2">
      <c r="B50" s="91" t="s">
        <v>127</v>
      </c>
      <c r="C50" s="91" t="s">
        <v>70</v>
      </c>
      <c r="D50" s="91" t="s">
        <v>128</v>
      </c>
      <c r="E50" s="91" t="s">
        <v>156</v>
      </c>
      <c r="F50" s="91" t="s">
        <v>157</v>
      </c>
      <c r="G50" s="91"/>
      <c r="H50" s="91" t="s">
        <v>22</v>
      </c>
      <c r="I50" s="91"/>
      <c r="J50" s="91"/>
      <c r="K50" s="92">
        <f t="shared" si="0"/>
        <v>44</v>
      </c>
      <c r="L50" s="91"/>
      <c r="M50" s="97" t="s">
        <v>22</v>
      </c>
      <c r="N50" s="91" t="s">
        <v>81</v>
      </c>
      <c r="O50" s="91"/>
      <c r="P50" s="95">
        <v>1244140.980610477</v>
      </c>
      <c r="Q50" s="98">
        <v>19.100683119503167</v>
      </c>
      <c r="R50" s="99">
        <f t="shared" si="41"/>
        <v>23763942.626628656</v>
      </c>
      <c r="S50" s="99">
        <f t="shared" ref="S50:S53" si="48">R50*$S$2</f>
        <v>695675.71713480749</v>
      </c>
      <c r="T50" s="221">
        <f t="shared" si="42"/>
        <v>24459618.343763463</v>
      </c>
      <c r="V50" s="95">
        <v>1234236.9850457378</v>
      </c>
      <c r="W50" s="98">
        <v>18.958539396846874</v>
      </c>
      <c r="X50" s="99">
        <f t="shared" si="43"/>
        <v>23399330.506035127</v>
      </c>
      <c r="Y50" s="99">
        <f>X50*$Y$2</f>
        <v>685001.90755467</v>
      </c>
      <c r="Z50" s="221">
        <f t="shared" si="44"/>
        <v>24084332.413589798</v>
      </c>
      <c r="AB50" s="222">
        <f>V50</f>
        <v>1234236.9850457378</v>
      </c>
      <c r="AC50" s="98">
        <v>18.449336252760681</v>
      </c>
      <c r="AD50" s="99">
        <f t="shared" si="46"/>
        <v>22770853.152702373</v>
      </c>
      <c r="AE50" s="99">
        <f>AD50*$AE$2</f>
        <v>666603.59544156014</v>
      </c>
      <c r="AF50" s="221">
        <f t="shared" si="47"/>
        <v>23437456.748143934</v>
      </c>
    </row>
    <row r="51" spans="2:32" x14ac:dyDescent="0.2">
      <c r="B51" s="91" t="s">
        <v>127</v>
      </c>
      <c r="C51" s="91" t="s">
        <v>70</v>
      </c>
      <c r="D51" s="91" t="s">
        <v>128</v>
      </c>
      <c r="E51" s="91" t="s">
        <v>156</v>
      </c>
      <c r="F51" s="91" t="s">
        <v>157</v>
      </c>
      <c r="G51" s="91"/>
      <c r="H51" s="91" t="s">
        <v>135</v>
      </c>
      <c r="I51" s="91"/>
      <c r="J51" s="91"/>
      <c r="K51" s="92">
        <f t="shared" si="0"/>
        <v>45</v>
      </c>
      <c r="L51" s="91"/>
      <c r="M51" s="97" t="s">
        <v>53</v>
      </c>
      <c r="N51" s="91" t="s">
        <v>81</v>
      </c>
      <c r="O51" s="91"/>
      <c r="P51" s="95">
        <v>217570.41982983725</v>
      </c>
      <c r="Q51" s="98">
        <v>0.61</v>
      </c>
      <c r="R51" s="99">
        <f t="shared" si="41"/>
        <v>132717.95609620071</v>
      </c>
      <c r="S51" s="99">
        <f t="shared" si="48"/>
        <v>3885.2416341231001</v>
      </c>
      <c r="T51" s="221">
        <f t="shared" si="42"/>
        <v>136603.19773032382</v>
      </c>
      <c r="V51" s="95">
        <v>223420.67113422646</v>
      </c>
      <c r="W51" s="98">
        <v>0.61</v>
      </c>
      <c r="X51" s="99">
        <f t="shared" si="43"/>
        <v>136286.60939187813</v>
      </c>
      <c r="Y51" s="99">
        <f>X51*$Y$2</f>
        <v>3989.7119015228363</v>
      </c>
      <c r="Z51" s="221">
        <f t="shared" si="44"/>
        <v>140276.32129340095</v>
      </c>
      <c r="AB51" s="222">
        <f t="shared" ref="AB51:AB53" si="49">V51</f>
        <v>223420.67113422646</v>
      </c>
      <c r="AC51" s="98">
        <v>0.61</v>
      </c>
      <c r="AD51" s="99">
        <f t="shared" si="46"/>
        <v>136286.60939187813</v>
      </c>
      <c r="AE51" s="99">
        <f>AD51*$AE$2</f>
        <v>3989.7119015228363</v>
      </c>
      <c r="AF51" s="221">
        <f t="shared" si="47"/>
        <v>140276.32129340095</v>
      </c>
    </row>
    <row r="52" spans="2:32" x14ac:dyDescent="0.2">
      <c r="B52" s="91" t="s">
        <v>127</v>
      </c>
      <c r="C52" s="91" t="s">
        <v>70</v>
      </c>
      <c r="D52" s="91" t="s">
        <v>128</v>
      </c>
      <c r="E52" s="91" t="s">
        <v>156</v>
      </c>
      <c r="F52" s="91" t="s">
        <v>157</v>
      </c>
      <c r="G52" s="91"/>
      <c r="H52" s="91" t="s">
        <v>136</v>
      </c>
      <c r="I52" s="91"/>
      <c r="J52" s="91"/>
      <c r="K52" s="92">
        <f t="shared" si="0"/>
        <v>46</v>
      </c>
      <c r="L52" s="91"/>
      <c r="M52" s="97" t="s">
        <v>52</v>
      </c>
      <c r="N52" s="91" t="s">
        <v>81</v>
      </c>
      <c r="O52" s="91"/>
      <c r="P52" s="95">
        <v>1060000.7408237595</v>
      </c>
      <c r="Q52" s="98">
        <v>0.59</v>
      </c>
      <c r="R52" s="99">
        <f t="shared" si="41"/>
        <v>625400.43708601804</v>
      </c>
      <c r="S52" s="99">
        <f t="shared" si="48"/>
        <v>18308.237164262206</v>
      </c>
      <c r="T52" s="221">
        <f t="shared" si="42"/>
        <v>643708.67425028025</v>
      </c>
      <c r="V52" s="95">
        <v>1088605.6687590634</v>
      </c>
      <c r="W52" s="98">
        <v>0.59</v>
      </c>
      <c r="X52" s="99">
        <f t="shared" si="43"/>
        <v>642277.34456784732</v>
      </c>
      <c r="Y52" s="99">
        <f>X52*$Y$2</f>
        <v>18802.298898878718</v>
      </c>
      <c r="Z52" s="221">
        <f t="shared" si="44"/>
        <v>661079.64346672606</v>
      </c>
      <c r="AB52" s="222">
        <f t="shared" si="49"/>
        <v>1088605.6687590634</v>
      </c>
      <c r="AC52" s="98">
        <v>0.59</v>
      </c>
      <c r="AD52" s="99">
        <f t="shared" si="46"/>
        <v>642277.34456784732</v>
      </c>
      <c r="AE52" s="99">
        <f>AD52*$AE$2</f>
        <v>18802.298898878718</v>
      </c>
      <c r="AF52" s="221">
        <f t="shared" si="47"/>
        <v>661079.64346672606</v>
      </c>
    </row>
    <row r="53" spans="2:32" x14ac:dyDescent="0.2">
      <c r="B53" s="91" t="s">
        <v>127</v>
      </c>
      <c r="C53" s="91" t="s">
        <v>70</v>
      </c>
      <c r="D53" s="91" t="s">
        <v>128</v>
      </c>
      <c r="E53" s="91" t="s">
        <v>156</v>
      </c>
      <c r="F53" s="91" t="s">
        <v>157</v>
      </c>
      <c r="G53" s="91"/>
      <c r="H53" s="91" t="s">
        <v>24</v>
      </c>
      <c r="I53" s="91"/>
      <c r="J53" s="91"/>
      <c r="K53" s="92">
        <f t="shared" si="0"/>
        <v>47</v>
      </c>
      <c r="L53" s="91"/>
      <c r="M53" s="97" t="s">
        <v>24</v>
      </c>
      <c r="N53" s="91" t="s">
        <v>81</v>
      </c>
      <c r="O53" s="91"/>
      <c r="P53" s="95">
        <v>296771.18993267621</v>
      </c>
      <c r="Q53" s="98">
        <v>0.59</v>
      </c>
      <c r="R53" s="99">
        <f t="shared" si="41"/>
        <v>175095.00206027896</v>
      </c>
      <c r="S53" s="99">
        <f t="shared" si="48"/>
        <v>5125.8052183862728</v>
      </c>
      <c r="T53" s="221">
        <f t="shared" si="42"/>
        <v>180220.80727866522</v>
      </c>
      <c r="V53" s="95">
        <v>304307.02585717832</v>
      </c>
      <c r="W53" s="98">
        <v>0.59</v>
      </c>
      <c r="X53" s="99">
        <f t="shared" si="43"/>
        <v>179541.1452557352</v>
      </c>
      <c r="Y53" s="99">
        <f>X53*$Y$2</f>
        <v>5255.9634966055246</v>
      </c>
      <c r="Z53" s="221">
        <f t="shared" si="44"/>
        <v>184797.10875234072</v>
      </c>
      <c r="AB53" s="222">
        <f t="shared" si="49"/>
        <v>304307.02585717832</v>
      </c>
      <c r="AC53" s="98">
        <v>0.59</v>
      </c>
      <c r="AD53" s="99">
        <f t="shared" si="46"/>
        <v>179541.1452557352</v>
      </c>
      <c r="AE53" s="99">
        <f>AD53*$AE$2</f>
        <v>5255.9634966055246</v>
      </c>
      <c r="AF53" s="221">
        <f t="shared" si="47"/>
        <v>184797.10875234072</v>
      </c>
    </row>
    <row r="54" spans="2:32" x14ac:dyDescent="0.2">
      <c r="B54" s="91" t="s">
        <v>127</v>
      </c>
      <c r="C54" s="91" t="s">
        <v>70</v>
      </c>
      <c r="D54" s="91" t="s">
        <v>128</v>
      </c>
      <c r="E54" s="91"/>
      <c r="F54" s="91"/>
      <c r="G54" s="91"/>
      <c r="H54" s="91"/>
      <c r="I54" s="91"/>
      <c r="J54" s="91"/>
      <c r="K54" s="92">
        <f t="shared" si="0"/>
        <v>48</v>
      </c>
      <c r="L54" s="91"/>
      <c r="M54" s="100" t="s">
        <v>158</v>
      </c>
      <c r="N54" s="91"/>
      <c r="O54" s="91"/>
      <c r="P54" s="95"/>
      <c r="Q54" s="98"/>
      <c r="V54" s="95"/>
      <c r="W54" s="98"/>
      <c r="AC54" s="98"/>
    </row>
    <row r="55" spans="2:32" x14ac:dyDescent="0.2">
      <c r="B55" s="91" t="s">
        <v>127</v>
      </c>
      <c r="C55" s="91" t="s">
        <v>70</v>
      </c>
      <c r="D55" s="91" t="s">
        <v>128</v>
      </c>
      <c r="E55" s="91" t="s">
        <v>158</v>
      </c>
      <c r="F55" s="91"/>
      <c r="G55" s="91"/>
      <c r="H55" s="91" t="s">
        <v>21</v>
      </c>
      <c r="I55" s="91"/>
      <c r="J55" s="91"/>
      <c r="K55" s="92">
        <f t="shared" si="0"/>
        <v>49</v>
      </c>
      <c r="L55" s="91"/>
      <c r="M55" s="96" t="s">
        <v>21</v>
      </c>
      <c r="N55" s="91" t="s">
        <v>159</v>
      </c>
      <c r="O55" s="91"/>
      <c r="P55" s="95"/>
      <c r="Q55" s="98">
        <v>0.25</v>
      </c>
      <c r="R55" s="99">
        <f t="shared" ref="R55:R59" si="50">P55*Q55</f>
        <v>0</v>
      </c>
      <c r="S55" s="99">
        <f>R55*$S$2</f>
        <v>0</v>
      </c>
      <c r="T55" s="221">
        <f t="shared" ref="T55:T59" si="51">S55+R55</f>
        <v>0</v>
      </c>
      <c r="V55" s="95"/>
      <c r="W55" s="98">
        <v>0.25</v>
      </c>
      <c r="X55" s="99">
        <f t="shared" ref="X55:X59" si="52">V55*W55</f>
        <v>0</v>
      </c>
      <c r="Y55" s="99">
        <f>X55*$Y$2</f>
        <v>0</v>
      </c>
      <c r="Z55" s="221">
        <f t="shared" ref="Z55:Z59" si="53">Y55+X55</f>
        <v>0</v>
      </c>
      <c r="AB55" s="222">
        <f t="shared" ref="AB55" si="54">V55</f>
        <v>0</v>
      </c>
      <c r="AC55" s="98">
        <v>0.25</v>
      </c>
      <c r="AD55" s="99">
        <f t="shared" ref="AD55:AD59" si="55">AB55*AC55</f>
        <v>0</v>
      </c>
      <c r="AE55" s="99">
        <f>AD55*$AE$2</f>
        <v>0</v>
      </c>
      <c r="AF55" s="221">
        <f t="shared" ref="AF55:AF59" si="56">AE55+AD55</f>
        <v>0</v>
      </c>
    </row>
    <row r="56" spans="2:32" x14ac:dyDescent="0.2">
      <c r="B56" s="91" t="s">
        <v>127</v>
      </c>
      <c r="C56" s="91" t="s">
        <v>70</v>
      </c>
      <c r="D56" s="91" t="s">
        <v>128</v>
      </c>
      <c r="E56" s="91" t="s">
        <v>158</v>
      </c>
      <c r="F56" s="91"/>
      <c r="G56" s="91"/>
      <c r="H56" s="91" t="s">
        <v>22</v>
      </c>
      <c r="I56" s="91"/>
      <c r="J56" s="91"/>
      <c r="K56" s="92">
        <f t="shared" si="0"/>
        <v>50</v>
      </c>
      <c r="L56" s="91"/>
      <c r="M56" s="96" t="s">
        <v>22</v>
      </c>
      <c r="N56" s="91" t="s">
        <v>159</v>
      </c>
      <c r="O56" s="91"/>
      <c r="P56" s="95"/>
      <c r="Q56" s="98">
        <v>0.25</v>
      </c>
      <c r="R56" s="99">
        <f t="shared" si="50"/>
        <v>0</v>
      </c>
      <c r="S56" s="99">
        <f t="shared" ref="S56:S59" si="57">R56*$S$2</f>
        <v>0</v>
      </c>
      <c r="T56" s="221">
        <f t="shared" si="51"/>
        <v>0</v>
      </c>
      <c r="V56" s="95"/>
      <c r="W56" s="98">
        <v>0.25</v>
      </c>
      <c r="X56" s="99">
        <f t="shared" si="52"/>
        <v>0</v>
      </c>
      <c r="Y56" s="99">
        <f>X56*$Y$2</f>
        <v>0</v>
      </c>
      <c r="Z56" s="221">
        <f t="shared" si="53"/>
        <v>0</v>
      </c>
      <c r="AB56" s="222">
        <f>V56</f>
        <v>0</v>
      </c>
      <c r="AC56" s="98">
        <v>0.25</v>
      </c>
      <c r="AD56" s="99">
        <f t="shared" si="55"/>
        <v>0</v>
      </c>
      <c r="AE56" s="99">
        <f>AD56*$AE$2</f>
        <v>0</v>
      </c>
      <c r="AF56" s="221">
        <f t="shared" si="56"/>
        <v>0</v>
      </c>
    </row>
    <row r="57" spans="2:32" x14ac:dyDescent="0.2">
      <c r="B57" s="91" t="s">
        <v>127</v>
      </c>
      <c r="C57" s="91" t="s">
        <v>70</v>
      </c>
      <c r="D57" s="91" t="s">
        <v>128</v>
      </c>
      <c r="E57" s="91" t="s">
        <v>158</v>
      </c>
      <c r="F57" s="91"/>
      <c r="G57" s="91"/>
      <c r="H57" s="91" t="s">
        <v>135</v>
      </c>
      <c r="I57" s="91"/>
      <c r="J57" s="91"/>
      <c r="K57" s="92">
        <f t="shared" si="0"/>
        <v>51</v>
      </c>
      <c r="L57" s="91"/>
      <c r="M57" s="96" t="s">
        <v>53</v>
      </c>
      <c r="N57" s="91" t="s">
        <v>159</v>
      </c>
      <c r="O57" s="91"/>
      <c r="P57" s="95"/>
      <c r="Q57" s="98">
        <v>0.25</v>
      </c>
      <c r="R57" s="99">
        <f t="shared" si="50"/>
        <v>0</v>
      </c>
      <c r="S57" s="99">
        <f t="shared" si="57"/>
        <v>0</v>
      </c>
      <c r="T57" s="221">
        <f t="shared" si="51"/>
        <v>0</v>
      </c>
      <c r="V57" s="95"/>
      <c r="W57" s="98">
        <v>0.25</v>
      </c>
      <c r="X57" s="99">
        <f t="shared" si="52"/>
        <v>0</v>
      </c>
      <c r="Y57" s="99">
        <f>X57*$Y$2</f>
        <v>0</v>
      </c>
      <c r="Z57" s="221">
        <f t="shared" si="53"/>
        <v>0</v>
      </c>
      <c r="AB57" s="222">
        <f t="shared" ref="AB57:AB59" si="58">V57</f>
        <v>0</v>
      </c>
      <c r="AC57" s="98">
        <v>0.25</v>
      </c>
      <c r="AD57" s="99">
        <f t="shared" si="55"/>
        <v>0</v>
      </c>
      <c r="AE57" s="99">
        <f>AD57*$AE$2</f>
        <v>0</v>
      </c>
      <c r="AF57" s="221">
        <f t="shared" si="56"/>
        <v>0</v>
      </c>
    </row>
    <row r="58" spans="2:32" x14ac:dyDescent="0.2">
      <c r="B58" s="91" t="s">
        <v>127</v>
      </c>
      <c r="C58" s="91" t="s">
        <v>70</v>
      </c>
      <c r="D58" s="91" t="s">
        <v>128</v>
      </c>
      <c r="E58" s="91" t="s">
        <v>158</v>
      </c>
      <c r="F58" s="91"/>
      <c r="G58" s="91"/>
      <c r="H58" s="91" t="s">
        <v>136</v>
      </c>
      <c r="I58" s="91"/>
      <c r="J58" s="91"/>
      <c r="K58" s="92">
        <f t="shared" si="0"/>
        <v>52</v>
      </c>
      <c r="L58" s="91"/>
      <c r="M58" s="96" t="s">
        <v>52</v>
      </c>
      <c r="N58" s="91" t="s">
        <v>159</v>
      </c>
      <c r="O58" s="91"/>
      <c r="P58" s="95"/>
      <c r="Q58" s="98">
        <v>0.25</v>
      </c>
      <c r="R58" s="99">
        <f t="shared" si="50"/>
        <v>0</v>
      </c>
      <c r="S58" s="99">
        <f t="shared" si="57"/>
        <v>0</v>
      </c>
      <c r="T58" s="221">
        <f t="shared" si="51"/>
        <v>0</v>
      </c>
      <c r="V58" s="95"/>
      <c r="W58" s="98">
        <v>0.25</v>
      </c>
      <c r="X58" s="99">
        <f t="shared" si="52"/>
        <v>0</v>
      </c>
      <c r="Y58" s="99">
        <f>X58*$Y$2</f>
        <v>0</v>
      </c>
      <c r="Z58" s="221">
        <f t="shared" si="53"/>
        <v>0</v>
      </c>
      <c r="AB58" s="222">
        <f t="shared" si="58"/>
        <v>0</v>
      </c>
      <c r="AC58" s="98">
        <v>0.25</v>
      </c>
      <c r="AD58" s="99">
        <f t="shared" si="55"/>
        <v>0</v>
      </c>
      <c r="AE58" s="99">
        <f>AD58*$AE$2</f>
        <v>0</v>
      </c>
      <c r="AF58" s="221">
        <f t="shared" si="56"/>
        <v>0</v>
      </c>
    </row>
    <row r="59" spans="2:32" x14ac:dyDescent="0.2">
      <c r="B59" s="91" t="s">
        <v>127</v>
      </c>
      <c r="C59" s="91" t="s">
        <v>70</v>
      </c>
      <c r="D59" s="91" t="s">
        <v>128</v>
      </c>
      <c r="E59" s="91" t="s">
        <v>158</v>
      </c>
      <c r="F59" s="91"/>
      <c r="G59" s="91"/>
      <c r="H59" s="91" t="s">
        <v>24</v>
      </c>
      <c r="I59" s="91"/>
      <c r="J59" s="91"/>
      <c r="K59" s="92">
        <f t="shared" si="0"/>
        <v>53</v>
      </c>
      <c r="L59" s="91"/>
      <c r="M59" s="96" t="s">
        <v>24</v>
      </c>
      <c r="N59" s="91" t="s">
        <v>159</v>
      </c>
      <c r="O59" s="91"/>
      <c r="P59" s="95"/>
      <c r="Q59" s="98">
        <v>0</v>
      </c>
      <c r="R59" s="99">
        <f t="shared" si="50"/>
        <v>0</v>
      </c>
      <c r="S59" s="99">
        <f t="shared" si="57"/>
        <v>0</v>
      </c>
      <c r="T59" s="221">
        <f t="shared" si="51"/>
        <v>0</v>
      </c>
      <c r="V59" s="95"/>
      <c r="W59" s="98">
        <v>0</v>
      </c>
      <c r="X59" s="99">
        <f t="shared" si="52"/>
        <v>0</v>
      </c>
      <c r="Y59" s="99">
        <f>X59*$Y$2</f>
        <v>0</v>
      </c>
      <c r="Z59" s="221">
        <f t="shared" si="53"/>
        <v>0</v>
      </c>
      <c r="AB59" s="222">
        <f t="shared" si="58"/>
        <v>0</v>
      </c>
      <c r="AC59" s="98">
        <v>0</v>
      </c>
      <c r="AD59" s="99">
        <f t="shared" si="55"/>
        <v>0</v>
      </c>
      <c r="AE59" s="99">
        <f>AD59*$AE$2</f>
        <v>0</v>
      </c>
      <c r="AF59" s="221">
        <f t="shared" si="56"/>
        <v>0</v>
      </c>
    </row>
    <row r="60" spans="2:32" x14ac:dyDescent="0.2">
      <c r="B60" s="223" t="s">
        <v>127</v>
      </c>
      <c r="C60" s="223" t="s">
        <v>70</v>
      </c>
      <c r="D60" s="223" t="s">
        <v>128</v>
      </c>
      <c r="E60" s="223"/>
      <c r="F60" s="223"/>
      <c r="G60" s="223"/>
      <c r="H60" s="223"/>
      <c r="I60" s="223"/>
      <c r="J60" s="107"/>
      <c r="K60" s="101">
        <f t="shared" si="0"/>
        <v>54</v>
      </c>
      <c r="L60" s="102"/>
      <c r="M60" s="102" t="s">
        <v>160</v>
      </c>
      <c r="N60" s="102"/>
      <c r="O60" s="91"/>
      <c r="P60" s="95"/>
      <c r="Q60" s="103"/>
      <c r="V60" s="95"/>
      <c r="W60" s="98"/>
      <c r="AC60" s="98"/>
    </row>
    <row r="61" spans="2:32" x14ac:dyDescent="0.2">
      <c r="B61" s="223" t="s">
        <v>127</v>
      </c>
      <c r="C61" s="223" t="s">
        <v>70</v>
      </c>
      <c r="D61" s="223" t="s">
        <v>128</v>
      </c>
      <c r="E61" s="223" t="s">
        <v>161</v>
      </c>
      <c r="F61" s="223" t="s">
        <v>155</v>
      </c>
      <c r="G61" s="223" t="s">
        <v>162</v>
      </c>
      <c r="H61" s="223" t="s">
        <v>21</v>
      </c>
      <c r="I61" s="223"/>
      <c r="J61" s="107"/>
      <c r="K61" s="101">
        <f t="shared" si="0"/>
        <v>55</v>
      </c>
      <c r="L61" s="102"/>
      <c r="M61" s="104" t="s">
        <v>21</v>
      </c>
      <c r="N61" s="102" t="s">
        <v>82</v>
      </c>
      <c r="O61" s="91"/>
      <c r="P61" s="95">
        <v>642297250.24438119</v>
      </c>
      <c r="Q61" s="103">
        <v>1.1886895173392056E-2</v>
      </c>
      <c r="R61" s="99">
        <f t="shared" ref="R61:R65" si="59">P61*Q61</f>
        <v>7634920.0838129241</v>
      </c>
      <c r="S61" s="99">
        <f>R61*$S$2</f>
        <v>223507.88284692226</v>
      </c>
      <c r="T61" s="221">
        <f t="shared" ref="T61:T65" si="60">S61+R61</f>
        <v>7858427.9666598467</v>
      </c>
      <c r="V61" s="95">
        <v>629841243.89068222</v>
      </c>
      <c r="W61" s="103">
        <v>1.2898086179521304E-2</v>
      </c>
      <c r="X61" s="99">
        <f t="shared" ref="X61:X65" si="61">V61*W61</f>
        <v>8123746.6431189151</v>
      </c>
      <c r="Y61" s="99">
        <f>X61*$Y$2</f>
        <v>237817.99849324927</v>
      </c>
      <c r="Z61" s="221">
        <f t="shared" ref="Z61:Z65" si="62">Y61+X61</f>
        <v>8361564.6416121647</v>
      </c>
      <c r="AB61" s="222">
        <f t="shared" ref="AB61" si="63">V61</f>
        <v>629841243.89068222</v>
      </c>
      <c r="AC61" s="103">
        <v>1.2898086179521304E-2</v>
      </c>
      <c r="AD61" s="99">
        <f t="shared" ref="AD61:AD65" si="64">AB61*AC61</f>
        <v>8123746.6431189151</v>
      </c>
      <c r="AE61" s="99">
        <f>AD61*$AE$2</f>
        <v>237817.99849324927</v>
      </c>
      <c r="AF61" s="221">
        <f t="shared" ref="AF61:AF65" si="65">AE61+AD61</f>
        <v>8361564.6416121647</v>
      </c>
    </row>
    <row r="62" spans="2:32" x14ac:dyDescent="0.2">
      <c r="B62" s="223" t="s">
        <v>127</v>
      </c>
      <c r="C62" s="223" t="s">
        <v>70</v>
      </c>
      <c r="D62" s="223" t="s">
        <v>128</v>
      </c>
      <c r="E62" s="223" t="s">
        <v>161</v>
      </c>
      <c r="F62" s="223" t="s">
        <v>155</v>
      </c>
      <c r="G62" s="223" t="s">
        <v>162</v>
      </c>
      <c r="H62" s="223" t="s">
        <v>22</v>
      </c>
      <c r="I62" s="223"/>
      <c r="J62" s="107"/>
      <c r="K62" s="101">
        <f t="shared" si="0"/>
        <v>56</v>
      </c>
      <c r="L62" s="102"/>
      <c r="M62" s="104" t="s">
        <v>22</v>
      </c>
      <c r="N62" s="102" t="s">
        <v>82</v>
      </c>
      <c r="O62" s="91"/>
      <c r="P62" s="95">
        <v>104009380.91185859</v>
      </c>
      <c r="Q62" s="103">
        <v>1.1886895173392056E-2</v>
      </c>
      <c r="R62" s="99">
        <f t="shared" si="59"/>
        <v>1236348.6079486676</v>
      </c>
      <c r="S62" s="99">
        <f t="shared" ref="S62:S65" si="66">R62*$S$2</f>
        <v>36193.392568602183</v>
      </c>
      <c r="T62" s="221">
        <f t="shared" si="60"/>
        <v>1272542.0005172698</v>
      </c>
      <c r="V62" s="95">
        <v>103876613.83040078</v>
      </c>
      <c r="W62" s="103">
        <v>1.2898086179521304E-2</v>
      </c>
      <c r="X62" s="99">
        <f t="shared" si="61"/>
        <v>1339809.5172213637</v>
      </c>
      <c r="Y62" s="99">
        <f>X62*$Y$2</f>
        <v>39222.151027775129</v>
      </c>
      <c r="Z62" s="221">
        <f t="shared" si="62"/>
        <v>1379031.6682491389</v>
      </c>
      <c r="AB62" s="222">
        <f>V62</f>
        <v>103876613.83040078</v>
      </c>
      <c r="AC62" s="103">
        <v>1.2898086179521304E-2</v>
      </c>
      <c r="AD62" s="99">
        <f t="shared" si="64"/>
        <v>1339809.5172213637</v>
      </c>
      <c r="AE62" s="99">
        <f>AD62*$AE$2</f>
        <v>39222.151027775129</v>
      </c>
      <c r="AF62" s="221">
        <f t="shared" si="65"/>
        <v>1379031.6682491389</v>
      </c>
    </row>
    <row r="63" spans="2:32" x14ac:dyDescent="0.2">
      <c r="B63" s="223" t="s">
        <v>127</v>
      </c>
      <c r="C63" s="223" t="s">
        <v>70</v>
      </c>
      <c r="D63" s="223" t="s">
        <v>128</v>
      </c>
      <c r="E63" s="223" t="s">
        <v>161</v>
      </c>
      <c r="F63" s="223" t="s">
        <v>155</v>
      </c>
      <c r="G63" s="223" t="s">
        <v>162</v>
      </c>
      <c r="H63" s="223" t="s">
        <v>135</v>
      </c>
      <c r="I63" s="223"/>
      <c r="J63" s="107"/>
      <c r="K63" s="101">
        <f t="shared" si="0"/>
        <v>57</v>
      </c>
      <c r="L63" s="102"/>
      <c r="M63" s="104" t="s">
        <v>53</v>
      </c>
      <c r="N63" s="102" t="s">
        <v>82</v>
      </c>
      <c r="O63" s="91"/>
      <c r="P63" s="95">
        <v>20761933.096102741</v>
      </c>
      <c r="Q63" s="103">
        <v>1.0370079234600944E-2</v>
      </c>
      <c r="R63" s="99">
        <f t="shared" si="59"/>
        <v>215302.89127006911</v>
      </c>
      <c r="S63" s="99">
        <f t="shared" si="66"/>
        <v>6302.867989492026</v>
      </c>
      <c r="T63" s="221">
        <f t="shared" si="60"/>
        <v>221605.75925956113</v>
      </c>
      <c r="V63" s="95">
        <v>21217837.635433663</v>
      </c>
      <c r="W63" s="103">
        <v>1.1396652583713227E-2</v>
      </c>
      <c r="X63" s="99">
        <f t="shared" si="61"/>
        <v>241812.32410867279</v>
      </c>
      <c r="Y63" s="99">
        <f>X63*$Y$2</f>
        <v>7078.9163494206305</v>
      </c>
      <c r="Z63" s="221">
        <f t="shared" si="62"/>
        <v>248891.24045809344</v>
      </c>
      <c r="AB63" s="222">
        <f t="shared" ref="AB63:AB65" si="67">V63</f>
        <v>21217837.635433663</v>
      </c>
      <c r="AC63" s="103">
        <v>1.1396652583713227E-2</v>
      </c>
      <c r="AD63" s="99">
        <f t="shared" si="64"/>
        <v>241812.32410867279</v>
      </c>
      <c r="AE63" s="99">
        <f>AD63*$AE$2</f>
        <v>7078.9163494206305</v>
      </c>
      <c r="AF63" s="221">
        <f t="shared" si="65"/>
        <v>248891.24045809344</v>
      </c>
    </row>
    <row r="64" spans="2:32" x14ac:dyDescent="0.2">
      <c r="B64" s="223" t="s">
        <v>127</v>
      </c>
      <c r="C64" s="223" t="s">
        <v>70</v>
      </c>
      <c r="D64" s="223" t="s">
        <v>128</v>
      </c>
      <c r="E64" s="223" t="s">
        <v>161</v>
      </c>
      <c r="F64" s="223" t="s">
        <v>155</v>
      </c>
      <c r="G64" s="223" t="s">
        <v>162</v>
      </c>
      <c r="H64" s="223" t="s">
        <v>136</v>
      </c>
      <c r="I64" s="223"/>
      <c r="J64" s="107"/>
      <c r="K64" s="101">
        <f t="shared" si="0"/>
        <v>58</v>
      </c>
      <c r="L64" s="102"/>
      <c r="M64" s="104" t="s">
        <v>52</v>
      </c>
      <c r="N64" s="102" t="s">
        <v>82</v>
      </c>
      <c r="O64" s="91"/>
      <c r="P64" s="95">
        <v>91738780.985129997</v>
      </c>
      <c r="Q64" s="103">
        <v>1.0370079234600944E-2</v>
      </c>
      <c r="R64" s="99">
        <f t="shared" si="59"/>
        <v>951338.42770150048</v>
      </c>
      <c r="S64" s="99">
        <f t="shared" si="66"/>
        <v>27849.883890375015</v>
      </c>
      <c r="T64" s="221">
        <f t="shared" si="60"/>
        <v>979188.31159187551</v>
      </c>
      <c r="V64" s="95">
        <v>93770126.116230309</v>
      </c>
      <c r="W64" s="103">
        <v>1.1396652583713227E-2</v>
      </c>
      <c r="X64" s="99">
        <f t="shared" si="61"/>
        <v>1068665.5500776514</v>
      </c>
      <c r="Y64" s="99">
        <f>X64*$Y$2</f>
        <v>31284.567742326883</v>
      </c>
      <c r="Z64" s="221">
        <f t="shared" si="62"/>
        <v>1099950.1178199784</v>
      </c>
      <c r="AB64" s="222">
        <f t="shared" si="67"/>
        <v>93770126.116230309</v>
      </c>
      <c r="AC64" s="103">
        <v>1.1396652583713227E-2</v>
      </c>
      <c r="AD64" s="99">
        <f t="shared" si="64"/>
        <v>1068665.5500776514</v>
      </c>
      <c r="AE64" s="99">
        <f>AD64*$AE$2</f>
        <v>31284.567742326883</v>
      </c>
      <c r="AF64" s="221">
        <f t="shared" si="65"/>
        <v>1099950.1178199784</v>
      </c>
    </row>
    <row r="65" spans="2:32" x14ac:dyDescent="0.2">
      <c r="B65" s="223" t="s">
        <v>127</v>
      </c>
      <c r="C65" s="223" t="s">
        <v>70</v>
      </c>
      <c r="D65" s="223" t="s">
        <v>128</v>
      </c>
      <c r="E65" s="223" t="s">
        <v>161</v>
      </c>
      <c r="F65" s="223" t="s">
        <v>155</v>
      </c>
      <c r="G65" s="223" t="s">
        <v>162</v>
      </c>
      <c r="H65" s="223" t="s">
        <v>24</v>
      </c>
      <c r="I65" s="223"/>
      <c r="J65" s="107"/>
      <c r="K65" s="101">
        <f t="shared" si="0"/>
        <v>59</v>
      </c>
      <c r="L65" s="102"/>
      <c r="M65" s="104" t="s">
        <v>24</v>
      </c>
      <c r="N65" s="102" t="s">
        <v>82</v>
      </c>
      <c r="O65" s="91"/>
      <c r="P65" s="95">
        <v>15490058.344441393</v>
      </c>
      <c r="Q65" s="103">
        <v>1.0370079234600944E-2</v>
      </c>
      <c r="R65" s="99">
        <f t="shared" si="59"/>
        <v>160633.13238044878</v>
      </c>
      <c r="S65" s="99">
        <f t="shared" si="66"/>
        <v>4702.4423228138685</v>
      </c>
      <c r="T65" s="221">
        <f t="shared" si="60"/>
        <v>165335.57470326265</v>
      </c>
      <c r="V65" s="95">
        <v>15826069.086832205</v>
      </c>
      <c r="W65" s="103">
        <v>1.1396652583713227E-2</v>
      </c>
      <c r="X65" s="99">
        <f t="shared" si="61"/>
        <v>180364.21114847029</v>
      </c>
      <c r="Y65" s="99">
        <f>X65*$Y$2</f>
        <v>5280.0582760019397</v>
      </c>
      <c r="Z65" s="221">
        <f t="shared" si="62"/>
        <v>185644.26942447224</v>
      </c>
      <c r="AB65" s="222">
        <f t="shared" si="67"/>
        <v>15826069.086832205</v>
      </c>
      <c r="AC65" s="103">
        <v>1.1396652583713227E-2</v>
      </c>
      <c r="AD65" s="99">
        <f t="shared" si="64"/>
        <v>180364.21114847029</v>
      </c>
      <c r="AE65" s="99">
        <f>AD65*$AE$2</f>
        <v>5280.0582760019397</v>
      </c>
      <c r="AF65" s="221">
        <f t="shared" si="65"/>
        <v>185644.26942447224</v>
      </c>
    </row>
    <row r="66" spans="2:32" x14ac:dyDescent="0.2">
      <c r="B66" s="223" t="s">
        <v>127</v>
      </c>
      <c r="C66" s="223" t="s">
        <v>70</v>
      </c>
      <c r="D66" s="223" t="s">
        <v>128</v>
      </c>
      <c r="E66" s="223"/>
      <c r="F66" s="223"/>
      <c r="G66" s="223"/>
      <c r="H66" s="223"/>
      <c r="I66" s="223"/>
      <c r="J66" s="107"/>
      <c r="K66" s="101">
        <f t="shared" si="0"/>
        <v>60</v>
      </c>
      <c r="L66" s="102"/>
      <c r="M66" s="102" t="s">
        <v>163</v>
      </c>
      <c r="N66" s="102"/>
      <c r="O66" s="91"/>
      <c r="P66" s="105"/>
      <c r="Q66" s="98"/>
      <c r="V66" s="105"/>
      <c r="W66" s="98"/>
      <c r="AC66" s="98"/>
    </row>
    <row r="67" spans="2:32" x14ac:dyDescent="0.2">
      <c r="B67" s="223" t="s">
        <v>127</v>
      </c>
      <c r="C67" s="223" t="s">
        <v>70</v>
      </c>
      <c r="D67" s="223" t="s">
        <v>128</v>
      </c>
      <c r="E67" s="223" t="s">
        <v>161</v>
      </c>
      <c r="F67" s="223" t="s">
        <v>155</v>
      </c>
      <c r="G67" s="223" t="s">
        <v>164</v>
      </c>
      <c r="H67" s="223" t="s">
        <v>21</v>
      </c>
      <c r="I67" s="223"/>
      <c r="J67" s="107"/>
      <c r="K67" s="101">
        <f t="shared" si="0"/>
        <v>61</v>
      </c>
      <c r="L67" s="102"/>
      <c r="M67" s="104" t="s">
        <v>21</v>
      </c>
      <c r="N67" s="102" t="s">
        <v>82</v>
      </c>
      <c r="O67" s="91"/>
      <c r="P67" s="105">
        <v>1394638167.6784539</v>
      </c>
      <c r="Q67" s="103">
        <v>1.1886895173392056E-2</v>
      </c>
      <c r="R67" s="99">
        <f t="shared" ref="R67:R71" si="68">P67*Q67</f>
        <v>16577917.704005355</v>
      </c>
      <c r="S67" s="99">
        <f>R67*$S$2</f>
        <v>485308.98128043028</v>
      </c>
      <c r="T67" s="221">
        <f t="shared" ref="T67:T71" si="69">S67+R67</f>
        <v>17063226.685285784</v>
      </c>
      <c r="V67" s="105">
        <v>1337080169.3650799</v>
      </c>
      <c r="W67" s="103">
        <v>1.2898086179521304E-2</v>
      </c>
      <c r="X67" s="99">
        <f t="shared" ref="X67:X71" si="70">V67*W67</f>
        <v>17245775.253399741</v>
      </c>
      <c r="Y67" s="99">
        <f>X67*$Y$2</f>
        <v>504860.12592501519</v>
      </c>
      <c r="Z67" s="221">
        <f t="shared" ref="Z67:Z71" si="71">Y67+X67</f>
        <v>17750635.379324757</v>
      </c>
      <c r="AB67" s="222">
        <f t="shared" ref="AB67" si="72">V67</f>
        <v>1337080169.3650799</v>
      </c>
      <c r="AC67" s="103">
        <v>1.2898086179521304E-2</v>
      </c>
      <c r="AD67" s="99">
        <f t="shared" ref="AD67:AD71" si="73">AB67*AC67</f>
        <v>17245775.253399741</v>
      </c>
      <c r="AE67" s="99">
        <f t="shared" ref="AE67:AE95" si="74">AD67*$AE$2</f>
        <v>504860.12592501519</v>
      </c>
      <c r="AF67" s="221">
        <f t="shared" ref="AF67:AF71" si="75">AE67+AD67</f>
        <v>17750635.379324757</v>
      </c>
    </row>
    <row r="68" spans="2:32" x14ac:dyDescent="0.2">
      <c r="B68" s="223" t="s">
        <v>127</v>
      </c>
      <c r="C68" s="223" t="s">
        <v>70</v>
      </c>
      <c r="D68" s="223" t="s">
        <v>128</v>
      </c>
      <c r="E68" s="223" t="s">
        <v>161</v>
      </c>
      <c r="F68" s="223" t="s">
        <v>155</v>
      </c>
      <c r="G68" s="223" t="s">
        <v>164</v>
      </c>
      <c r="H68" s="223" t="s">
        <v>22</v>
      </c>
      <c r="I68" s="223"/>
      <c r="J68" s="107"/>
      <c r="K68" s="101">
        <f t="shared" si="0"/>
        <v>62</v>
      </c>
      <c r="L68" s="102"/>
      <c r="M68" s="104" t="s">
        <v>22</v>
      </c>
      <c r="N68" s="102" t="s">
        <v>82</v>
      </c>
      <c r="O68" s="91"/>
      <c r="P68" s="105">
        <v>226068235.79433122</v>
      </c>
      <c r="Q68" s="103">
        <v>1.1886895173392056E-2</v>
      </c>
      <c r="R68" s="99">
        <f t="shared" si="68"/>
        <v>2687249.4209208931</v>
      </c>
      <c r="S68" s="99">
        <f t="shared" ref="S68:S71" si="76">R68*$S$2</f>
        <v>78667.677219706122</v>
      </c>
      <c r="T68" s="221">
        <f t="shared" si="69"/>
        <v>2765917.0981405992</v>
      </c>
      <c r="V68" s="105">
        <v>222985836.65475777</v>
      </c>
      <c r="W68" s="103">
        <v>1.2898086179521304E-2</v>
      </c>
      <c r="X68" s="99">
        <f t="shared" si="70"/>
        <v>2876090.5379857263</v>
      </c>
      <c r="Y68" s="99">
        <f>X68*$Y$2</f>
        <v>84195.892028279472</v>
      </c>
      <c r="Z68" s="221">
        <f t="shared" si="71"/>
        <v>2960286.4300140059</v>
      </c>
      <c r="AB68" s="222">
        <f>V68</f>
        <v>222985836.65475777</v>
      </c>
      <c r="AC68" s="103">
        <v>1.2898086179521304E-2</v>
      </c>
      <c r="AD68" s="99">
        <f t="shared" si="73"/>
        <v>2876090.5379857263</v>
      </c>
      <c r="AE68" s="99">
        <f t="shared" si="74"/>
        <v>84195.892028279472</v>
      </c>
      <c r="AF68" s="221">
        <f t="shared" si="75"/>
        <v>2960286.4300140059</v>
      </c>
    </row>
    <row r="69" spans="2:32" x14ac:dyDescent="0.2">
      <c r="B69" s="223" t="s">
        <v>127</v>
      </c>
      <c r="C69" s="223" t="s">
        <v>70</v>
      </c>
      <c r="D69" s="223" t="s">
        <v>128</v>
      </c>
      <c r="E69" s="223" t="s">
        <v>161</v>
      </c>
      <c r="F69" s="223" t="s">
        <v>155</v>
      </c>
      <c r="G69" s="223" t="s">
        <v>164</v>
      </c>
      <c r="H69" s="223" t="s">
        <v>135</v>
      </c>
      <c r="I69" s="223"/>
      <c r="J69" s="107"/>
      <c r="K69" s="101">
        <f t="shared" si="0"/>
        <v>63</v>
      </c>
      <c r="L69" s="102"/>
      <c r="M69" s="104" t="s">
        <v>53</v>
      </c>
      <c r="N69" s="102" t="s">
        <v>82</v>
      </c>
      <c r="O69" s="91"/>
      <c r="P69" s="105">
        <v>42991554.383431114</v>
      </c>
      <c r="Q69" s="103">
        <v>1.0370079234600944E-2</v>
      </c>
      <c r="R69" s="99">
        <f t="shared" si="68"/>
        <v>445825.82537483616</v>
      </c>
      <c r="S69" s="99">
        <f t="shared" si="76"/>
        <v>13051.293956471607</v>
      </c>
      <c r="T69" s="221">
        <f t="shared" si="69"/>
        <v>458877.11933130777</v>
      </c>
      <c r="V69" s="105">
        <v>43935591.949951246</v>
      </c>
      <c r="W69" s="103">
        <v>1.1396652583713227E-2</v>
      </c>
      <c r="X69" s="99">
        <f t="shared" si="70"/>
        <v>500718.67751338193</v>
      </c>
      <c r="Y69" s="99">
        <f>X69*$Y$2</f>
        <v>14658.250549367378</v>
      </c>
      <c r="Z69" s="221">
        <f t="shared" si="71"/>
        <v>515376.92806274933</v>
      </c>
      <c r="AB69" s="222">
        <f t="shared" ref="AB69:AB71" si="77">V69</f>
        <v>43935591.949951246</v>
      </c>
      <c r="AC69" s="103">
        <v>1.1396652583713227E-2</v>
      </c>
      <c r="AD69" s="99">
        <f t="shared" si="73"/>
        <v>500718.67751338193</v>
      </c>
      <c r="AE69" s="99">
        <f t="shared" si="74"/>
        <v>14658.250549367378</v>
      </c>
      <c r="AF69" s="221">
        <f t="shared" si="75"/>
        <v>515376.92806274933</v>
      </c>
    </row>
    <row r="70" spans="2:32" x14ac:dyDescent="0.2">
      <c r="B70" s="223" t="s">
        <v>127</v>
      </c>
      <c r="C70" s="223" t="s">
        <v>70</v>
      </c>
      <c r="D70" s="223" t="s">
        <v>128</v>
      </c>
      <c r="E70" s="223" t="s">
        <v>161</v>
      </c>
      <c r="F70" s="223" t="s">
        <v>155</v>
      </c>
      <c r="G70" s="223" t="s">
        <v>164</v>
      </c>
      <c r="H70" s="223" t="s">
        <v>136</v>
      </c>
      <c r="I70" s="223"/>
      <c r="J70" s="107"/>
      <c r="K70" s="101">
        <f t="shared" si="0"/>
        <v>64</v>
      </c>
      <c r="L70" s="102"/>
      <c r="M70" s="104" t="s">
        <v>52</v>
      </c>
      <c r="N70" s="102" t="s">
        <v>82</v>
      </c>
      <c r="O70" s="91"/>
      <c r="P70" s="105">
        <v>194590151.83149725</v>
      </c>
      <c r="Q70" s="103">
        <v>1.0370079234600944E-2</v>
      </c>
      <c r="R70" s="99">
        <f t="shared" si="68"/>
        <v>2017915.2927656544</v>
      </c>
      <c r="S70" s="99">
        <f t="shared" si="76"/>
        <v>59073.306583352831</v>
      </c>
      <c r="T70" s="221">
        <f t="shared" si="69"/>
        <v>2076988.5993490072</v>
      </c>
      <c r="V70" s="105">
        <v>198898904.93719912</v>
      </c>
      <c r="W70" s="103">
        <v>1.1396652583713227E-2</v>
      </c>
      <c r="X70" s="99">
        <f t="shared" si="70"/>
        <v>2266781.718850262</v>
      </c>
      <c r="Y70" s="99">
        <f>X70*$Y$2</f>
        <v>66358.727700435687</v>
      </c>
      <c r="Z70" s="221">
        <f t="shared" si="71"/>
        <v>2333140.4465506976</v>
      </c>
      <c r="AB70" s="222">
        <f t="shared" si="77"/>
        <v>198898904.93719912</v>
      </c>
      <c r="AC70" s="103">
        <v>1.1396652583713227E-2</v>
      </c>
      <c r="AD70" s="99">
        <f t="shared" si="73"/>
        <v>2266781.718850262</v>
      </c>
      <c r="AE70" s="99">
        <f t="shared" si="74"/>
        <v>66358.727700435687</v>
      </c>
      <c r="AF70" s="221">
        <f t="shared" si="75"/>
        <v>2333140.4465506976</v>
      </c>
    </row>
    <row r="71" spans="2:32" x14ac:dyDescent="0.2">
      <c r="B71" s="223" t="s">
        <v>127</v>
      </c>
      <c r="C71" s="223" t="s">
        <v>70</v>
      </c>
      <c r="D71" s="223" t="s">
        <v>128</v>
      </c>
      <c r="E71" s="223" t="s">
        <v>161</v>
      </c>
      <c r="F71" s="223" t="s">
        <v>155</v>
      </c>
      <c r="G71" s="223" t="s">
        <v>164</v>
      </c>
      <c r="H71" s="223" t="s">
        <v>24</v>
      </c>
      <c r="I71" s="223"/>
      <c r="J71" s="107"/>
      <c r="K71" s="101">
        <f t="shared" ref="K71:K134" si="78">IF(ISNUMBER(SEARCH("continued", M71)), K69+1, IF(ISNUMBER(SEARCH("schedule", M71)), 1, IF(M71="", "", K70+1)))</f>
        <v>65</v>
      </c>
      <c r="L71" s="102"/>
      <c r="M71" s="104" t="s">
        <v>24</v>
      </c>
      <c r="N71" s="102" t="s">
        <v>82</v>
      </c>
      <c r="O71" s="91"/>
      <c r="P71" s="105">
        <v>33334717.707748603</v>
      </c>
      <c r="Q71" s="103">
        <v>1.0370079234600944E-2</v>
      </c>
      <c r="R71" s="99">
        <f t="shared" si="68"/>
        <v>345683.66389240813</v>
      </c>
      <c r="S71" s="99">
        <f t="shared" si="76"/>
        <v>10119.689925133258</v>
      </c>
      <c r="T71" s="221">
        <f t="shared" si="69"/>
        <v>355803.35381754139</v>
      </c>
      <c r="V71" s="105">
        <v>34057811.538759537</v>
      </c>
      <c r="W71" s="103">
        <v>1.1396652583713227E-2</v>
      </c>
      <c r="X71" s="99">
        <f t="shared" si="70"/>
        <v>388145.04586882202</v>
      </c>
      <c r="Y71" s="99">
        <f>X71*$Y$2</f>
        <v>11362.722397525968</v>
      </c>
      <c r="Z71" s="221">
        <f t="shared" si="71"/>
        <v>399507.76826634799</v>
      </c>
      <c r="AB71" s="222">
        <f t="shared" si="77"/>
        <v>34057811.538759537</v>
      </c>
      <c r="AC71" s="103">
        <v>1.1396652583713227E-2</v>
      </c>
      <c r="AD71" s="99">
        <f t="shared" si="73"/>
        <v>388145.04586882202</v>
      </c>
      <c r="AE71" s="99">
        <f t="shared" si="74"/>
        <v>11362.722397525968</v>
      </c>
      <c r="AF71" s="221">
        <f t="shared" si="75"/>
        <v>399507.76826634799</v>
      </c>
    </row>
    <row r="72" spans="2:32" x14ac:dyDescent="0.2">
      <c r="B72" s="223" t="s">
        <v>127</v>
      </c>
      <c r="C72" s="223" t="s">
        <v>70</v>
      </c>
      <c r="D72" s="223" t="s">
        <v>128</v>
      </c>
      <c r="E72" s="223"/>
      <c r="F72" s="223"/>
      <c r="G72" s="223"/>
      <c r="H72" s="223"/>
      <c r="I72" s="223"/>
      <c r="J72" s="107"/>
      <c r="K72" s="101">
        <f t="shared" si="78"/>
        <v>66</v>
      </c>
      <c r="L72" s="102"/>
      <c r="M72" s="102" t="s">
        <v>165</v>
      </c>
      <c r="N72" s="102"/>
      <c r="O72" s="91"/>
      <c r="P72" s="105"/>
      <c r="Q72" s="98"/>
      <c r="V72" s="105"/>
      <c r="W72" s="98"/>
      <c r="AC72" s="98"/>
    </row>
    <row r="73" spans="2:32" x14ac:dyDescent="0.2">
      <c r="B73" s="223" t="s">
        <v>127</v>
      </c>
      <c r="C73" s="223" t="s">
        <v>70</v>
      </c>
      <c r="D73" s="223" t="s">
        <v>128</v>
      </c>
      <c r="E73" s="223" t="s">
        <v>161</v>
      </c>
      <c r="F73" s="223" t="s">
        <v>155</v>
      </c>
      <c r="G73" s="107" t="s">
        <v>166</v>
      </c>
      <c r="H73" s="223" t="s">
        <v>21</v>
      </c>
      <c r="I73" s="107"/>
      <c r="J73" s="107"/>
      <c r="K73" s="101">
        <f t="shared" si="78"/>
        <v>67</v>
      </c>
      <c r="L73" s="102"/>
      <c r="M73" s="104" t="s">
        <v>21</v>
      </c>
      <c r="N73" s="102" t="s">
        <v>82</v>
      </c>
      <c r="O73" s="91"/>
      <c r="P73" s="105">
        <v>782206250.77901721</v>
      </c>
      <c r="Q73" s="103">
        <v>1.1886895173392056E-2</v>
      </c>
      <c r="R73" s="99">
        <f t="shared" ref="R73:R77" si="79">P73*Q73</f>
        <v>9298003.7069821954</v>
      </c>
      <c r="S73" s="99">
        <f>R73*$S$2</f>
        <v>272193.69691327162</v>
      </c>
      <c r="T73" s="221">
        <f t="shared" ref="T73:T77" si="80">S73+R73</f>
        <v>9570197.4038954675</v>
      </c>
      <c r="V73" s="105">
        <v>769889409.57096314</v>
      </c>
      <c r="W73" s="103">
        <v>1.2898086179521304E-2</v>
      </c>
      <c r="X73" s="99">
        <f t="shared" ref="X73:X77" si="81">V73*W73</f>
        <v>9930099.9533470571</v>
      </c>
      <c r="Y73" s="99">
        <f>X73*$Y$2</f>
        <v>290697.95003309491</v>
      </c>
      <c r="Z73" s="221">
        <f t="shared" ref="Z73:Z77" si="82">Y73+X73</f>
        <v>10220797.903380152</v>
      </c>
      <c r="AB73" s="222">
        <f t="shared" ref="AB73" si="83">V73</f>
        <v>769889409.57096314</v>
      </c>
      <c r="AC73" s="103">
        <v>1.2898086179521304E-2</v>
      </c>
      <c r="AD73" s="99">
        <f t="shared" ref="AD73:AD77" si="84">AB73*AC73</f>
        <v>9930099.9533470571</v>
      </c>
      <c r="AE73" s="99">
        <f t="shared" si="74"/>
        <v>290697.95003309491</v>
      </c>
      <c r="AF73" s="221">
        <f t="shared" ref="AF73:AF77" si="85">AE73+AD73</f>
        <v>10220797.903380152</v>
      </c>
    </row>
    <row r="74" spans="2:32" x14ac:dyDescent="0.2">
      <c r="B74" s="223" t="s">
        <v>127</v>
      </c>
      <c r="C74" s="223" t="s">
        <v>70</v>
      </c>
      <c r="D74" s="223" t="s">
        <v>128</v>
      </c>
      <c r="E74" s="223" t="s">
        <v>161</v>
      </c>
      <c r="F74" s="223" t="s">
        <v>155</v>
      </c>
      <c r="G74" s="107" t="s">
        <v>166</v>
      </c>
      <c r="H74" s="223" t="s">
        <v>22</v>
      </c>
      <c r="I74" s="223"/>
      <c r="J74" s="107"/>
      <c r="K74" s="101">
        <f t="shared" si="78"/>
        <v>68</v>
      </c>
      <c r="L74" s="102"/>
      <c r="M74" s="104" t="s">
        <v>22</v>
      </c>
      <c r="N74" s="102" t="s">
        <v>82</v>
      </c>
      <c r="O74" s="91"/>
      <c r="P74" s="105">
        <v>139858778.71060109</v>
      </c>
      <c r="Q74" s="103">
        <v>1.1886895173392056E-2</v>
      </c>
      <c r="R74" s="99">
        <f t="shared" si="79"/>
        <v>1662486.6416115516</v>
      </c>
      <c r="S74" s="99">
        <f t="shared" ref="S74:S77" si="86">R74*$S$2</f>
        <v>48668.337775491062</v>
      </c>
      <c r="T74" s="221">
        <f t="shared" si="80"/>
        <v>1711154.9793870426</v>
      </c>
      <c r="V74" s="105">
        <v>139764763.68597487</v>
      </c>
      <c r="W74" s="103">
        <v>1.2898086179521304E-2</v>
      </c>
      <c r="X74" s="99">
        <f t="shared" si="81"/>
        <v>1802697.9668821334</v>
      </c>
      <c r="Y74" s="99">
        <f>X74*$Y$2</f>
        <v>52772.943471211503</v>
      </c>
      <c r="Z74" s="221">
        <f t="shared" si="82"/>
        <v>1855470.9103533449</v>
      </c>
      <c r="AB74" s="222">
        <f>V74</f>
        <v>139764763.68597487</v>
      </c>
      <c r="AC74" s="103">
        <v>1.2898086179521304E-2</v>
      </c>
      <c r="AD74" s="99">
        <f t="shared" si="84"/>
        <v>1802697.9668821334</v>
      </c>
      <c r="AE74" s="99">
        <f t="shared" si="74"/>
        <v>52772.943471211503</v>
      </c>
      <c r="AF74" s="221">
        <f t="shared" si="85"/>
        <v>1855470.9103533449</v>
      </c>
    </row>
    <row r="75" spans="2:32" x14ac:dyDescent="0.2">
      <c r="B75" s="223" t="s">
        <v>127</v>
      </c>
      <c r="C75" s="223" t="s">
        <v>70</v>
      </c>
      <c r="D75" s="223" t="s">
        <v>128</v>
      </c>
      <c r="E75" s="223" t="s">
        <v>161</v>
      </c>
      <c r="F75" s="223" t="s">
        <v>155</v>
      </c>
      <c r="G75" s="107" t="s">
        <v>166</v>
      </c>
      <c r="H75" s="223" t="s">
        <v>135</v>
      </c>
      <c r="I75" s="223"/>
      <c r="J75" s="107"/>
      <c r="K75" s="101">
        <f t="shared" si="78"/>
        <v>69</v>
      </c>
      <c r="L75" s="102"/>
      <c r="M75" s="104" t="s">
        <v>53</v>
      </c>
      <c r="N75" s="102" t="s">
        <v>82</v>
      </c>
      <c r="O75" s="91"/>
      <c r="P75" s="105">
        <v>29143674.412383914</v>
      </c>
      <c r="Q75" s="103">
        <v>1.0370079234600944E-2</v>
      </c>
      <c r="R75" s="99">
        <f t="shared" si="79"/>
        <v>302222.21284383326</v>
      </c>
      <c r="S75" s="99">
        <f t="shared" si="86"/>
        <v>8847.3810073337008</v>
      </c>
      <c r="T75" s="221">
        <f t="shared" si="80"/>
        <v>311069.59385116695</v>
      </c>
      <c r="V75" s="105">
        <v>29783630.884446833</v>
      </c>
      <c r="W75" s="103">
        <v>1.1396652583713227E-2</v>
      </c>
      <c r="X75" s="99">
        <f t="shared" si="81"/>
        <v>339433.69387159206</v>
      </c>
      <c r="Y75" s="99">
        <f>X75*$Y$2</f>
        <v>9936.725656761806</v>
      </c>
      <c r="Z75" s="221">
        <f t="shared" si="82"/>
        <v>349370.41952835384</v>
      </c>
      <c r="AB75" s="222">
        <f t="shared" ref="AB75:AB77" si="87">V75</f>
        <v>29783630.884446833</v>
      </c>
      <c r="AC75" s="103">
        <v>1.1396652583713227E-2</v>
      </c>
      <c r="AD75" s="99">
        <f t="shared" si="84"/>
        <v>339433.69387159206</v>
      </c>
      <c r="AE75" s="99">
        <f t="shared" si="74"/>
        <v>9936.725656761806</v>
      </c>
      <c r="AF75" s="221">
        <f t="shared" si="85"/>
        <v>349370.41952835384</v>
      </c>
    </row>
    <row r="76" spans="2:32" x14ac:dyDescent="0.2">
      <c r="B76" s="223" t="s">
        <v>127</v>
      </c>
      <c r="C76" s="223" t="s">
        <v>70</v>
      </c>
      <c r="D76" s="223" t="s">
        <v>128</v>
      </c>
      <c r="E76" s="223" t="s">
        <v>161</v>
      </c>
      <c r="F76" s="223" t="s">
        <v>155</v>
      </c>
      <c r="G76" s="107" t="s">
        <v>166</v>
      </c>
      <c r="H76" s="223" t="s">
        <v>136</v>
      </c>
      <c r="I76" s="223"/>
      <c r="J76" s="107"/>
      <c r="K76" s="101">
        <f t="shared" si="78"/>
        <v>70</v>
      </c>
      <c r="L76" s="102"/>
      <c r="M76" s="104" t="s">
        <v>52</v>
      </c>
      <c r="N76" s="102" t="s">
        <v>82</v>
      </c>
      <c r="O76" s="91"/>
      <c r="P76" s="105">
        <v>134221186.62781554</v>
      </c>
      <c r="Q76" s="103">
        <v>1.0370079234600944E-2</v>
      </c>
      <c r="R76" s="99">
        <f t="shared" si="79"/>
        <v>1391884.3402926079</v>
      </c>
      <c r="S76" s="99">
        <f t="shared" si="86"/>
        <v>40746.611444716284</v>
      </c>
      <c r="T76" s="221">
        <f t="shared" si="80"/>
        <v>1432630.9517373242</v>
      </c>
      <c r="V76" s="105">
        <v>137193207.30455759</v>
      </c>
      <c r="W76" s="103">
        <v>1.1396652583713227E-2</v>
      </c>
      <c r="X76" s="99">
        <f t="shared" si="81"/>
        <v>1563543.3204953906</v>
      </c>
      <c r="Y76" s="99">
        <f>X76*$Y$2</f>
        <v>45771.82910457487</v>
      </c>
      <c r="Z76" s="221">
        <f t="shared" si="82"/>
        <v>1609315.1495999654</v>
      </c>
      <c r="AB76" s="222">
        <f t="shared" si="87"/>
        <v>137193207.30455759</v>
      </c>
      <c r="AC76" s="103">
        <v>1.1396652583713227E-2</v>
      </c>
      <c r="AD76" s="99">
        <f t="shared" si="84"/>
        <v>1563543.3204953906</v>
      </c>
      <c r="AE76" s="99">
        <f t="shared" si="74"/>
        <v>45771.82910457487</v>
      </c>
      <c r="AF76" s="221">
        <f t="shared" si="85"/>
        <v>1609315.1495999654</v>
      </c>
    </row>
    <row r="77" spans="2:32" x14ac:dyDescent="0.2">
      <c r="B77" s="223" t="s">
        <v>127</v>
      </c>
      <c r="C77" s="223" t="s">
        <v>70</v>
      </c>
      <c r="D77" s="223" t="s">
        <v>128</v>
      </c>
      <c r="E77" s="223" t="s">
        <v>161</v>
      </c>
      <c r="F77" s="223" t="s">
        <v>155</v>
      </c>
      <c r="G77" s="107" t="s">
        <v>166</v>
      </c>
      <c r="H77" s="223" t="s">
        <v>24</v>
      </c>
      <c r="I77" s="223"/>
      <c r="J77" s="107"/>
      <c r="K77" s="101">
        <f t="shared" si="78"/>
        <v>71</v>
      </c>
      <c r="L77" s="102"/>
      <c r="M77" s="104" t="s">
        <v>24</v>
      </c>
      <c r="N77" s="102" t="s">
        <v>82</v>
      </c>
      <c r="O77" s="91"/>
      <c r="P77" s="105">
        <v>20171059.492805988</v>
      </c>
      <c r="Q77" s="103">
        <v>1.0370079234600944E-2</v>
      </c>
      <c r="R77" s="99">
        <f t="shared" si="79"/>
        <v>209175.48518624762</v>
      </c>
      <c r="S77" s="99">
        <f t="shared" si="86"/>
        <v>6123.4917097007192</v>
      </c>
      <c r="T77" s="221">
        <f t="shared" si="80"/>
        <v>215298.97689594835</v>
      </c>
      <c r="V77" s="105">
        <v>20608649.54873047</v>
      </c>
      <c r="W77" s="103">
        <v>1.1396652583713227E-2</v>
      </c>
      <c r="X77" s="99">
        <f t="shared" si="81"/>
        <v>234869.61912637955</v>
      </c>
      <c r="Y77" s="99">
        <f>X77*$Y$2</f>
        <v>6875.6726645112021</v>
      </c>
      <c r="Z77" s="221">
        <f t="shared" si="82"/>
        <v>241745.29179089074</v>
      </c>
      <c r="AB77" s="222">
        <f t="shared" si="87"/>
        <v>20608649.54873047</v>
      </c>
      <c r="AC77" s="103">
        <v>1.1396652583713227E-2</v>
      </c>
      <c r="AD77" s="99">
        <f t="shared" si="84"/>
        <v>234869.61912637955</v>
      </c>
      <c r="AE77" s="99">
        <f t="shared" si="74"/>
        <v>6875.6726645112021</v>
      </c>
      <c r="AF77" s="221">
        <f t="shared" si="85"/>
        <v>241745.29179089074</v>
      </c>
    </row>
    <row r="78" spans="2:32" x14ac:dyDescent="0.2">
      <c r="B78" s="223" t="s">
        <v>127</v>
      </c>
      <c r="C78" s="223" t="s">
        <v>70</v>
      </c>
      <c r="D78" s="223" t="s">
        <v>128</v>
      </c>
      <c r="E78" s="223"/>
      <c r="F78" s="223"/>
      <c r="G78" s="223"/>
      <c r="H78" s="223"/>
      <c r="I78" s="223"/>
      <c r="J78" s="107"/>
      <c r="K78" s="101">
        <f t="shared" si="78"/>
        <v>72</v>
      </c>
      <c r="L78" s="102"/>
      <c r="M78" s="102" t="s">
        <v>167</v>
      </c>
      <c r="N78" s="102"/>
      <c r="O78" s="91"/>
      <c r="P78" s="105"/>
      <c r="Q78" s="98"/>
      <c r="V78" s="105"/>
      <c r="W78" s="98"/>
      <c r="AC78" s="98"/>
    </row>
    <row r="79" spans="2:32" x14ac:dyDescent="0.2">
      <c r="B79" s="223" t="s">
        <v>127</v>
      </c>
      <c r="C79" s="223" t="s">
        <v>70</v>
      </c>
      <c r="D79" s="223" t="s">
        <v>128</v>
      </c>
      <c r="E79" s="223" t="s">
        <v>161</v>
      </c>
      <c r="F79" s="223" t="s">
        <v>157</v>
      </c>
      <c r="G79" s="223" t="s">
        <v>162</v>
      </c>
      <c r="H79" s="223" t="s">
        <v>21</v>
      </c>
      <c r="I79" s="223"/>
      <c r="J79" s="107"/>
      <c r="K79" s="101">
        <f t="shared" si="78"/>
        <v>73</v>
      </c>
      <c r="L79" s="102"/>
      <c r="M79" s="104" t="s">
        <v>21</v>
      </c>
      <c r="N79" s="102" t="s">
        <v>82</v>
      </c>
      <c r="O79" s="91"/>
      <c r="P79" s="105">
        <v>767869452.35477459</v>
      </c>
      <c r="Q79" s="103">
        <v>1.1886895173392056E-2</v>
      </c>
      <c r="R79" s="99">
        <f t="shared" ref="R79:R83" si="88">P79*Q79</f>
        <v>9127583.6869911719</v>
      </c>
      <c r="S79" s="99">
        <f>R79*$S$2</f>
        <v>267204.74909917725</v>
      </c>
      <c r="T79" s="221">
        <f t="shared" ref="T79:T83" si="89">S79+R79</f>
        <v>9394788.4360903483</v>
      </c>
      <c r="V79" s="105">
        <v>748781090.31483912</v>
      </c>
      <c r="W79" s="103">
        <v>1.2898086179521304E-2</v>
      </c>
      <c r="X79" s="99">
        <f t="shared" ref="X79:X83" si="90">V79*W79</f>
        <v>9657843.0324767195</v>
      </c>
      <c r="Y79" s="99">
        <f>X79*$Y$2</f>
        <v>282727.78566907428</v>
      </c>
      <c r="Z79" s="221">
        <f t="shared" ref="Z79:Z83" si="91">Y79+X79</f>
        <v>9940570.8181457929</v>
      </c>
      <c r="AB79" s="222">
        <f t="shared" ref="AB79" si="92">V79</f>
        <v>748781090.31483912</v>
      </c>
      <c r="AC79" s="103">
        <v>1.2898086179521304E-2</v>
      </c>
      <c r="AD79" s="99">
        <f t="shared" ref="AD79:AD83" si="93">AB79*AC79</f>
        <v>9657843.0324767195</v>
      </c>
      <c r="AE79" s="99">
        <f t="shared" si="74"/>
        <v>282727.78566907428</v>
      </c>
      <c r="AF79" s="221">
        <f t="shared" ref="AF79:AF83" si="94">AE79+AD79</f>
        <v>9940570.8181457929</v>
      </c>
    </row>
    <row r="80" spans="2:32" x14ac:dyDescent="0.2">
      <c r="B80" s="223" t="s">
        <v>127</v>
      </c>
      <c r="C80" s="223" t="s">
        <v>70</v>
      </c>
      <c r="D80" s="223" t="s">
        <v>128</v>
      </c>
      <c r="E80" s="223" t="s">
        <v>161</v>
      </c>
      <c r="F80" s="223" t="s">
        <v>157</v>
      </c>
      <c r="G80" s="223" t="s">
        <v>162</v>
      </c>
      <c r="H80" s="223" t="s">
        <v>22</v>
      </c>
      <c r="I80" s="223"/>
      <c r="J80" s="107"/>
      <c r="K80" s="101">
        <f t="shared" si="78"/>
        <v>74</v>
      </c>
      <c r="L80" s="102"/>
      <c r="M80" s="104" t="s">
        <v>22</v>
      </c>
      <c r="N80" s="102" t="s">
        <v>82</v>
      </c>
      <c r="O80" s="91"/>
      <c r="P80" s="105">
        <v>123811724.02666475</v>
      </c>
      <c r="Q80" s="103">
        <v>1.1886895173392056E-2</v>
      </c>
      <c r="R80" s="99">
        <f t="shared" si="88"/>
        <v>1471736.9847419104</v>
      </c>
      <c r="S80" s="99">
        <f t="shared" ref="S80:S83" si="95">R80*$S$2</f>
        <v>43084.251564673948</v>
      </c>
      <c r="T80" s="221">
        <f t="shared" si="89"/>
        <v>1514821.2363065842</v>
      </c>
      <c r="V80" s="105">
        <v>122920651.45037879</v>
      </c>
      <c r="W80" s="103">
        <v>1.2898086179521304E-2</v>
      </c>
      <c r="X80" s="99">
        <f t="shared" si="90"/>
        <v>1585441.155649886</v>
      </c>
      <c r="Y80" s="99">
        <f>X80*$Y$2</f>
        <v>46412.875601536747</v>
      </c>
      <c r="Z80" s="221">
        <f t="shared" si="91"/>
        <v>1631854.0312514228</v>
      </c>
      <c r="AB80" s="222">
        <f>V80</f>
        <v>122920651.45037879</v>
      </c>
      <c r="AC80" s="103">
        <v>1.2898086179521304E-2</v>
      </c>
      <c r="AD80" s="99">
        <f t="shared" si="93"/>
        <v>1585441.155649886</v>
      </c>
      <c r="AE80" s="99">
        <f t="shared" si="74"/>
        <v>46412.875601536747</v>
      </c>
      <c r="AF80" s="221">
        <f t="shared" si="94"/>
        <v>1631854.0312514228</v>
      </c>
    </row>
    <row r="81" spans="2:32" x14ac:dyDescent="0.2">
      <c r="B81" s="223" t="s">
        <v>127</v>
      </c>
      <c r="C81" s="223" t="s">
        <v>70</v>
      </c>
      <c r="D81" s="223" t="s">
        <v>128</v>
      </c>
      <c r="E81" s="223" t="s">
        <v>161</v>
      </c>
      <c r="F81" s="223" t="s">
        <v>157</v>
      </c>
      <c r="G81" s="223" t="s">
        <v>162</v>
      </c>
      <c r="H81" s="223" t="s">
        <v>135</v>
      </c>
      <c r="I81" s="223"/>
      <c r="J81" s="107"/>
      <c r="K81" s="101">
        <f t="shared" si="78"/>
        <v>75</v>
      </c>
      <c r="L81" s="102"/>
      <c r="M81" s="104" t="s">
        <v>53</v>
      </c>
      <c r="N81" s="102" t="s">
        <v>82</v>
      </c>
      <c r="O81" s="91"/>
      <c r="P81" s="105">
        <v>24150570.127591219</v>
      </c>
      <c r="Q81" s="103">
        <v>1.0370079234600944E-2</v>
      </c>
      <c r="R81" s="99">
        <f t="shared" si="88"/>
        <v>250443.32578390755</v>
      </c>
      <c r="S81" s="99">
        <f t="shared" si="95"/>
        <v>7331.5839464751052</v>
      </c>
      <c r="T81" s="221">
        <f t="shared" si="89"/>
        <v>257774.90973038267</v>
      </c>
      <c r="V81" s="105">
        <v>24643246.662750125</v>
      </c>
      <c r="W81" s="103">
        <v>1.1396652583713227E-2</v>
      </c>
      <c r="X81" s="99">
        <f t="shared" si="90"/>
        <v>280850.52075011359</v>
      </c>
      <c r="Y81" s="99">
        <f>X81*$Y$2</f>
        <v>8221.7370450804556</v>
      </c>
      <c r="Z81" s="221">
        <f t="shared" si="91"/>
        <v>289072.25779519405</v>
      </c>
      <c r="AB81" s="222">
        <f t="shared" ref="AB81:AB83" si="96">V81</f>
        <v>24643246.662750125</v>
      </c>
      <c r="AC81" s="103">
        <v>1.1396652583713227E-2</v>
      </c>
      <c r="AD81" s="99">
        <f t="shared" si="93"/>
        <v>280850.52075011359</v>
      </c>
      <c r="AE81" s="99">
        <f t="shared" si="74"/>
        <v>8221.7370450804556</v>
      </c>
      <c r="AF81" s="221">
        <f t="shared" si="94"/>
        <v>289072.25779519405</v>
      </c>
    </row>
    <row r="82" spans="2:32" x14ac:dyDescent="0.2">
      <c r="B82" s="223" t="s">
        <v>127</v>
      </c>
      <c r="C82" s="223" t="s">
        <v>70</v>
      </c>
      <c r="D82" s="223" t="s">
        <v>128</v>
      </c>
      <c r="E82" s="223" t="s">
        <v>161</v>
      </c>
      <c r="F82" s="223" t="s">
        <v>157</v>
      </c>
      <c r="G82" s="223" t="s">
        <v>162</v>
      </c>
      <c r="H82" s="223" t="s">
        <v>136</v>
      </c>
      <c r="I82" s="223"/>
      <c r="J82" s="107"/>
      <c r="K82" s="101">
        <f t="shared" si="78"/>
        <v>76</v>
      </c>
      <c r="L82" s="102"/>
      <c r="M82" s="104" t="s">
        <v>52</v>
      </c>
      <c r="N82" s="102" t="s">
        <v>82</v>
      </c>
      <c r="O82" s="91"/>
      <c r="P82" s="105">
        <v>108641825.4496676</v>
      </c>
      <c r="Q82" s="103">
        <v>1.0370079234600944E-2</v>
      </c>
      <c r="R82" s="99">
        <f t="shared" si="88"/>
        <v>1126624.3381047384</v>
      </c>
      <c r="S82" s="99">
        <f t="shared" si="95"/>
        <v>32981.27784041586</v>
      </c>
      <c r="T82" s="221">
        <f t="shared" si="89"/>
        <v>1159605.6159451543</v>
      </c>
      <c r="V82" s="105">
        <v>110878104.06115706</v>
      </c>
      <c r="W82" s="103">
        <v>1.1396652583713227E-2</v>
      </c>
      <c r="X82" s="99">
        <f t="shared" si="90"/>
        <v>1263639.2311258097</v>
      </c>
      <c r="Y82" s="99">
        <f>X82*$Y$2</f>
        <v>36992.309825225253</v>
      </c>
      <c r="Z82" s="221">
        <f t="shared" si="91"/>
        <v>1300631.540951035</v>
      </c>
      <c r="AB82" s="222">
        <f t="shared" si="96"/>
        <v>110878104.06115706</v>
      </c>
      <c r="AC82" s="103">
        <v>1.1396652583713227E-2</v>
      </c>
      <c r="AD82" s="99">
        <f t="shared" si="93"/>
        <v>1263639.2311258097</v>
      </c>
      <c r="AE82" s="99">
        <f t="shared" si="74"/>
        <v>36992.309825225253</v>
      </c>
      <c r="AF82" s="221">
        <f t="shared" si="94"/>
        <v>1300631.540951035</v>
      </c>
    </row>
    <row r="83" spans="2:32" x14ac:dyDescent="0.2">
      <c r="B83" s="223" t="s">
        <v>127</v>
      </c>
      <c r="C83" s="223" t="s">
        <v>70</v>
      </c>
      <c r="D83" s="223" t="s">
        <v>128</v>
      </c>
      <c r="E83" s="223" t="s">
        <v>161</v>
      </c>
      <c r="F83" s="223" t="s">
        <v>157</v>
      </c>
      <c r="G83" s="223" t="s">
        <v>162</v>
      </c>
      <c r="H83" s="223" t="s">
        <v>24</v>
      </c>
      <c r="I83" s="223"/>
      <c r="J83" s="107"/>
      <c r="K83" s="101">
        <f t="shared" si="78"/>
        <v>77</v>
      </c>
      <c r="L83" s="102"/>
      <c r="M83" s="104" t="s">
        <v>24</v>
      </c>
      <c r="N83" s="102" t="s">
        <v>82</v>
      </c>
      <c r="O83" s="91"/>
      <c r="P83" s="105">
        <v>18828665.936310064</v>
      </c>
      <c r="Q83" s="103">
        <v>1.0370079234600944E-2</v>
      </c>
      <c r="R83" s="99">
        <f t="shared" si="88"/>
        <v>195254.75764136712</v>
      </c>
      <c r="S83" s="99">
        <f t="shared" si="95"/>
        <v>5715.9704380843132</v>
      </c>
      <c r="T83" s="221">
        <f t="shared" si="89"/>
        <v>200970.72807945142</v>
      </c>
      <c r="V83" s="105">
        <v>19207858.461342599</v>
      </c>
      <c r="W83" s="103">
        <v>1.1396652583713227E-2</v>
      </c>
      <c r="X83" s="99">
        <f t="shared" si="90"/>
        <v>218905.28976105811</v>
      </c>
      <c r="Y83" s="99">
        <f>X83*$Y$2</f>
        <v>6408.3261280256502</v>
      </c>
      <c r="Z83" s="221">
        <f t="shared" si="91"/>
        <v>225313.61588908377</v>
      </c>
      <c r="AB83" s="222">
        <f t="shared" si="96"/>
        <v>19207858.461342599</v>
      </c>
      <c r="AC83" s="103">
        <v>1.1396652583713227E-2</v>
      </c>
      <c r="AD83" s="99">
        <f t="shared" si="93"/>
        <v>218905.28976105811</v>
      </c>
      <c r="AE83" s="99">
        <f t="shared" si="74"/>
        <v>6408.3261280256502</v>
      </c>
      <c r="AF83" s="221">
        <f t="shared" si="94"/>
        <v>225313.61588908377</v>
      </c>
    </row>
    <row r="84" spans="2:32" x14ac:dyDescent="0.2">
      <c r="B84" s="223" t="s">
        <v>127</v>
      </c>
      <c r="C84" s="223" t="s">
        <v>70</v>
      </c>
      <c r="D84" s="223" t="s">
        <v>128</v>
      </c>
      <c r="E84" s="223"/>
      <c r="F84" s="223"/>
      <c r="G84" s="223"/>
      <c r="H84" s="223"/>
      <c r="I84" s="223"/>
      <c r="J84" s="107"/>
      <c r="K84" s="101">
        <f t="shared" si="78"/>
        <v>78</v>
      </c>
      <c r="L84" s="102"/>
      <c r="M84" s="102" t="s">
        <v>168</v>
      </c>
      <c r="N84" s="102"/>
      <c r="O84" s="91"/>
      <c r="P84" s="105"/>
      <c r="Q84" s="98"/>
      <c r="V84" s="105"/>
      <c r="W84" s="98"/>
      <c r="AC84" s="98"/>
    </row>
    <row r="85" spans="2:32" x14ac:dyDescent="0.2">
      <c r="B85" s="223" t="s">
        <v>127</v>
      </c>
      <c r="C85" s="223" t="s">
        <v>70</v>
      </c>
      <c r="D85" s="223" t="s">
        <v>128</v>
      </c>
      <c r="E85" s="223" t="s">
        <v>161</v>
      </c>
      <c r="F85" s="223" t="s">
        <v>157</v>
      </c>
      <c r="G85" s="223" t="s">
        <v>164</v>
      </c>
      <c r="H85" s="223" t="s">
        <v>21</v>
      </c>
      <c r="I85" s="223"/>
      <c r="J85" s="107"/>
      <c r="K85" s="101">
        <f t="shared" si="78"/>
        <v>79</v>
      </c>
      <c r="L85" s="102"/>
      <c r="M85" s="104" t="s">
        <v>21</v>
      </c>
      <c r="N85" s="102" t="s">
        <v>82</v>
      </c>
      <c r="O85" s="91"/>
      <c r="P85" s="105">
        <v>1490870039.51617</v>
      </c>
      <c r="Q85" s="103">
        <v>1.1886895173392056E-2</v>
      </c>
      <c r="R85" s="99">
        <f t="shared" ref="R85:R89" si="97">P85*Q85</f>
        <v>17721815.876879584</v>
      </c>
      <c r="S85" s="99">
        <f>R85*$S$2</f>
        <v>518795.94067292445</v>
      </c>
      <c r="T85" s="221">
        <f t="shared" ref="T85:T89" si="98">S85+R85</f>
        <v>18240611.817552507</v>
      </c>
      <c r="V85" s="105">
        <v>1423947183.9742541</v>
      </c>
      <c r="W85" s="103">
        <v>1.2898086179521304E-2</v>
      </c>
      <c r="X85" s="99">
        <f t="shared" ref="X85:X89" si="99">V85*W85</f>
        <v>18366193.493986607</v>
      </c>
      <c r="Y85" s="99">
        <f>X85*$Y$2</f>
        <v>537659.72383928462</v>
      </c>
      <c r="Z85" s="221">
        <f t="shared" ref="Z85:Z89" si="100">Y85+X85</f>
        <v>18903853.21782589</v>
      </c>
      <c r="AB85" s="222">
        <f t="shared" ref="AB85" si="101">V85</f>
        <v>1423947183.9742541</v>
      </c>
      <c r="AC85" s="103">
        <v>1.2898086179521304E-2</v>
      </c>
      <c r="AD85" s="99">
        <f t="shared" ref="AD85:AD89" si="102">AB85*AC85</f>
        <v>18366193.493986607</v>
      </c>
      <c r="AE85" s="99">
        <f t="shared" si="74"/>
        <v>537659.72383928462</v>
      </c>
      <c r="AF85" s="221">
        <f t="shared" ref="AF85:AF89" si="103">AE85+AD85</f>
        <v>18903853.21782589</v>
      </c>
    </row>
    <row r="86" spans="2:32" x14ac:dyDescent="0.2">
      <c r="B86" s="223" t="s">
        <v>127</v>
      </c>
      <c r="C86" s="223" t="s">
        <v>70</v>
      </c>
      <c r="D86" s="223" t="s">
        <v>128</v>
      </c>
      <c r="E86" s="223" t="s">
        <v>161</v>
      </c>
      <c r="F86" s="223" t="s">
        <v>157</v>
      </c>
      <c r="G86" s="223" t="s">
        <v>164</v>
      </c>
      <c r="H86" s="223" t="s">
        <v>22</v>
      </c>
      <c r="I86" s="223"/>
      <c r="J86" s="107"/>
      <c r="K86" s="101">
        <f t="shared" si="78"/>
        <v>80</v>
      </c>
      <c r="L86" s="102"/>
      <c r="M86" s="104" t="s">
        <v>22</v>
      </c>
      <c r="N86" s="102" t="s">
        <v>82</v>
      </c>
      <c r="O86" s="91"/>
      <c r="P86" s="105">
        <v>241441327.5431428</v>
      </c>
      <c r="Q86" s="103">
        <v>1.1886895173392056E-2</v>
      </c>
      <c r="R86" s="99">
        <f t="shared" si="97"/>
        <v>2869987.7510299543</v>
      </c>
      <c r="S86" s="99">
        <f t="shared" ref="S86:S89" si="104">R86*$S$2</f>
        <v>84017.236459265419</v>
      </c>
      <c r="T86" s="221">
        <f t="shared" si="98"/>
        <v>2954004.9874892198</v>
      </c>
      <c r="V86" s="105">
        <v>237548605.21178454</v>
      </c>
      <c r="W86" s="103">
        <v>1.2898086179521304E-2</v>
      </c>
      <c r="X86" s="99">
        <f t="shared" si="99"/>
        <v>3063922.3818466803</v>
      </c>
      <c r="Y86" s="99">
        <f>X86*$Y$2</f>
        <v>89694.560945797391</v>
      </c>
      <c r="Z86" s="221">
        <f t="shared" si="100"/>
        <v>3153616.9427924776</v>
      </c>
      <c r="AB86" s="222">
        <f>V86</f>
        <v>237548605.21178454</v>
      </c>
      <c r="AC86" s="103">
        <v>1.2898086179521304E-2</v>
      </c>
      <c r="AD86" s="99">
        <f t="shared" si="102"/>
        <v>3063922.3818466803</v>
      </c>
      <c r="AE86" s="99">
        <f t="shared" si="74"/>
        <v>89694.560945797391</v>
      </c>
      <c r="AF86" s="221">
        <f t="shared" si="103"/>
        <v>3153616.9427924776</v>
      </c>
    </row>
    <row r="87" spans="2:32" x14ac:dyDescent="0.2">
      <c r="B87" s="223" t="s">
        <v>127</v>
      </c>
      <c r="C87" s="223" t="s">
        <v>70</v>
      </c>
      <c r="D87" s="223" t="s">
        <v>128</v>
      </c>
      <c r="E87" s="223" t="s">
        <v>161</v>
      </c>
      <c r="F87" s="223" t="s">
        <v>157</v>
      </c>
      <c r="G87" s="223" t="s">
        <v>164</v>
      </c>
      <c r="H87" s="223" t="s">
        <v>135</v>
      </c>
      <c r="I87" s="223"/>
      <c r="J87" s="107"/>
      <c r="K87" s="101">
        <f t="shared" si="78"/>
        <v>81</v>
      </c>
      <c r="L87" s="102"/>
      <c r="M87" s="104" t="s">
        <v>53</v>
      </c>
      <c r="N87" s="102" t="s">
        <v>82</v>
      </c>
      <c r="O87" s="91"/>
      <c r="P87" s="105">
        <v>46004941.894685648</v>
      </c>
      <c r="Q87" s="103">
        <v>1.0370079234600944E-2</v>
      </c>
      <c r="R87" s="99">
        <f t="shared" si="97"/>
        <v>477074.89263110264</v>
      </c>
      <c r="S87" s="99">
        <f t="shared" si="104"/>
        <v>13966.092380910537</v>
      </c>
      <c r="T87" s="221">
        <f t="shared" si="98"/>
        <v>491040.98501201317</v>
      </c>
      <c r="V87" s="105">
        <v>46943452.052131809</v>
      </c>
      <c r="W87" s="103">
        <v>1.1396652583713227E-2</v>
      </c>
      <c r="X87" s="99">
        <f t="shared" si="99"/>
        <v>534998.21411834599</v>
      </c>
      <c r="Y87" s="99">
        <f>X87*$Y$2</f>
        <v>15661.764216497049</v>
      </c>
      <c r="Z87" s="221">
        <f t="shared" si="100"/>
        <v>550659.97833484306</v>
      </c>
      <c r="AB87" s="222">
        <f t="shared" ref="AB87:AB89" si="105">V87</f>
        <v>46943452.052131809</v>
      </c>
      <c r="AC87" s="103">
        <v>1.1396652583713227E-2</v>
      </c>
      <c r="AD87" s="99">
        <f t="shared" si="102"/>
        <v>534998.21411834599</v>
      </c>
      <c r="AE87" s="99">
        <f t="shared" si="74"/>
        <v>15661.764216497049</v>
      </c>
      <c r="AF87" s="221">
        <f t="shared" si="103"/>
        <v>550659.97833484306</v>
      </c>
    </row>
    <row r="88" spans="2:32" x14ac:dyDescent="0.2">
      <c r="B88" s="223" t="s">
        <v>127</v>
      </c>
      <c r="C88" s="223" t="s">
        <v>70</v>
      </c>
      <c r="D88" s="223" t="s">
        <v>128</v>
      </c>
      <c r="E88" s="223" t="s">
        <v>161</v>
      </c>
      <c r="F88" s="223" t="s">
        <v>157</v>
      </c>
      <c r="G88" s="223" t="s">
        <v>164</v>
      </c>
      <c r="H88" s="223" t="s">
        <v>136</v>
      </c>
      <c r="I88" s="223"/>
      <c r="J88" s="107"/>
      <c r="K88" s="101">
        <f t="shared" si="78"/>
        <v>82</v>
      </c>
      <c r="L88" s="102"/>
      <c r="M88" s="104" t="s">
        <v>52</v>
      </c>
      <c r="N88" s="102" t="s">
        <v>82</v>
      </c>
      <c r="O88" s="91"/>
      <c r="P88" s="105">
        <v>211404737.30778101</v>
      </c>
      <c r="Q88" s="103">
        <v>1.0370079234600944E-2</v>
      </c>
      <c r="R88" s="99">
        <f t="shared" si="97"/>
        <v>2192283.8764516874</v>
      </c>
      <c r="S88" s="99">
        <f t="shared" si="104"/>
        <v>64177.846322715552</v>
      </c>
      <c r="T88" s="221">
        <f t="shared" si="98"/>
        <v>2256461.7227744032</v>
      </c>
      <c r="V88" s="105">
        <v>215756283.22899681</v>
      </c>
      <c r="W88" s="103">
        <v>1.1396652583713227E-2</v>
      </c>
      <c r="X88" s="99">
        <f t="shared" si="99"/>
        <v>2458899.4027141095</v>
      </c>
      <c r="Y88" s="99">
        <f>X88*$Y$2</f>
        <v>71982.86211264797</v>
      </c>
      <c r="Z88" s="221">
        <f t="shared" si="100"/>
        <v>2530882.2648267574</v>
      </c>
      <c r="AB88" s="222">
        <f t="shared" si="105"/>
        <v>215756283.22899681</v>
      </c>
      <c r="AC88" s="103">
        <v>1.1396652583713227E-2</v>
      </c>
      <c r="AD88" s="99">
        <f t="shared" si="102"/>
        <v>2458899.4027141095</v>
      </c>
      <c r="AE88" s="99">
        <f t="shared" si="74"/>
        <v>71982.86211264797</v>
      </c>
      <c r="AF88" s="221">
        <f t="shared" si="103"/>
        <v>2530882.2648267574</v>
      </c>
    </row>
    <row r="89" spans="2:32" x14ac:dyDescent="0.2">
      <c r="B89" s="223" t="s">
        <v>127</v>
      </c>
      <c r="C89" s="223" t="s">
        <v>70</v>
      </c>
      <c r="D89" s="223" t="s">
        <v>128</v>
      </c>
      <c r="E89" s="223" t="s">
        <v>161</v>
      </c>
      <c r="F89" s="223" t="s">
        <v>157</v>
      </c>
      <c r="G89" s="223" t="s">
        <v>164</v>
      </c>
      <c r="H89" s="223" t="s">
        <v>24</v>
      </c>
      <c r="I89" s="223"/>
      <c r="J89" s="107"/>
      <c r="K89" s="101">
        <f t="shared" si="78"/>
        <v>83</v>
      </c>
      <c r="L89" s="102"/>
      <c r="M89" s="104" t="s">
        <v>24</v>
      </c>
      <c r="N89" s="102" t="s">
        <v>82</v>
      </c>
      <c r="O89" s="91"/>
      <c r="P89" s="105">
        <v>36531710.088191666</v>
      </c>
      <c r="Q89" s="103">
        <v>1.0370079234600944E-2</v>
      </c>
      <c r="R89" s="99">
        <f t="shared" si="97"/>
        <v>378836.72819001821</v>
      </c>
      <c r="S89" s="99">
        <f t="shared" si="104"/>
        <v>11090.226765035075</v>
      </c>
      <c r="T89" s="221">
        <f t="shared" si="98"/>
        <v>389926.95495505328</v>
      </c>
      <c r="V89" s="105">
        <v>37267408.304839753</v>
      </c>
      <c r="W89" s="103">
        <v>1.1396652583713227E-2</v>
      </c>
      <c r="X89" s="99">
        <f t="shared" si="99"/>
        <v>424723.70514564775</v>
      </c>
      <c r="Y89" s="99">
        <f>X89*$Y$2</f>
        <v>12433.541555106369</v>
      </c>
      <c r="Z89" s="221">
        <f t="shared" si="100"/>
        <v>437157.2467007541</v>
      </c>
      <c r="AB89" s="222">
        <f t="shared" si="105"/>
        <v>37267408.304839753</v>
      </c>
      <c r="AC89" s="103">
        <v>1.1396652583713227E-2</v>
      </c>
      <c r="AD89" s="99">
        <f t="shared" si="102"/>
        <v>424723.70514564775</v>
      </c>
      <c r="AE89" s="99">
        <f t="shared" si="74"/>
        <v>12433.541555106369</v>
      </c>
      <c r="AF89" s="221">
        <f t="shared" si="103"/>
        <v>437157.2467007541</v>
      </c>
    </row>
    <row r="90" spans="2:32" x14ac:dyDescent="0.2">
      <c r="B90" s="223" t="s">
        <v>127</v>
      </c>
      <c r="C90" s="223" t="s">
        <v>70</v>
      </c>
      <c r="D90" s="223" t="s">
        <v>128</v>
      </c>
      <c r="E90" s="223"/>
      <c r="F90" s="223"/>
      <c r="G90" s="223"/>
      <c r="H90" s="223"/>
      <c r="I90" s="223"/>
      <c r="J90" s="107"/>
      <c r="K90" s="101">
        <f t="shared" si="78"/>
        <v>84</v>
      </c>
      <c r="L90" s="102"/>
      <c r="M90" s="102" t="s">
        <v>169</v>
      </c>
      <c r="N90" s="102"/>
      <c r="O90" s="91"/>
      <c r="P90" s="105"/>
      <c r="Q90" s="98"/>
      <c r="V90" s="105"/>
      <c r="W90" s="98"/>
      <c r="AC90" s="98"/>
    </row>
    <row r="91" spans="2:32" x14ac:dyDescent="0.2">
      <c r="B91" s="223" t="s">
        <v>127</v>
      </c>
      <c r="C91" s="223" t="s">
        <v>70</v>
      </c>
      <c r="D91" s="223" t="s">
        <v>128</v>
      </c>
      <c r="E91" s="223" t="s">
        <v>161</v>
      </c>
      <c r="F91" s="223" t="s">
        <v>157</v>
      </c>
      <c r="G91" s="107" t="s">
        <v>166</v>
      </c>
      <c r="H91" s="223" t="s">
        <v>21</v>
      </c>
      <c r="I91" s="223"/>
      <c r="J91" s="107"/>
      <c r="K91" s="101">
        <f t="shared" si="78"/>
        <v>85</v>
      </c>
      <c r="L91" s="102"/>
      <c r="M91" s="104" t="s">
        <v>21</v>
      </c>
      <c r="N91" s="102" t="s">
        <v>82</v>
      </c>
      <c r="O91" s="91"/>
      <c r="P91" s="105">
        <v>1135584765.1832557</v>
      </c>
      <c r="Q91" s="103">
        <v>1.1886895173392056E-2</v>
      </c>
      <c r="R91" s="99">
        <f t="shared" ref="R91:R95" si="106">P91*Q91</f>
        <v>13498577.064234393</v>
      </c>
      <c r="S91" s="99">
        <f>R91*$S$2</f>
        <v>395163.05972469668</v>
      </c>
      <c r="T91" s="221">
        <f t="shared" ref="T91:T95" si="107">S91+R91</f>
        <v>13893740.123959089</v>
      </c>
      <c r="V91" s="105">
        <v>1105661687.3842146</v>
      </c>
      <c r="W91" s="103">
        <v>1.2898086179521304E-2</v>
      </c>
      <c r="X91" s="99">
        <f t="shared" ref="X91:X95" si="108">V91*W91</f>
        <v>14260919.729276543</v>
      </c>
      <c r="Y91" s="99">
        <f>X91*$Y$2</f>
        <v>417480.20164589386</v>
      </c>
      <c r="Z91" s="221">
        <f t="shared" ref="Z91:Z95" si="109">Y91+X91</f>
        <v>14678399.930922437</v>
      </c>
      <c r="AB91" s="222">
        <f t="shared" ref="AB91" si="110">V91</f>
        <v>1105661687.3842146</v>
      </c>
      <c r="AC91" s="103">
        <v>1.2898086179521304E-2</v>
      </c>
      <c r="AD91" s="99">
        <f t="shared" ref="AD91:AD95" si="111">AB91*AC91</f>
        <v>14260919.729276543</v>
      </c>
      <c r="AE91" s="99">
        <f t="shared" si="74"/>
        <v>417480.20164589386</v>
      </c>
      <c r="AF91" s="221">
        <f t="shared" ref="AF91:AF95" si="112">AE91+AD91</f>
        <v>14678399.930922437</v>
      </c>
    </row>
    <row r="92" spans="2:32" x14ac:dyDescent="0.2">
      <c r="B92" s="223" t="s">
        <v>127</v>
      </c>
      <c r="C92" s="223" t="s">
        <v>70</v>
      </c>
      <c r="D92" s="223" t="s">
        <v>128</v>
      </c>
      <c r="E92" s="223" t="s">
        <v>161</v>
      </c>
      <c r="F92" s="223" t="s">
        <v>157</v>
      </c>
      <c r="G92" s="107" t="s">
        <v>166</v>
      </c>
      <c r="H92" s="223" t="s">
        <v>22</v>
      </c>
      <c r="I92" s="223"/>
      <c r="J92" s="107"/>
      <c r="K92" s="101">
        <f t="shared" si="78"/>
        <v>86</v>
      </c>
      <c r="L92" s="102"/>
      <c r="M92" s="104" t="s">
        <v>22</v>
      </c>
      <c r="N92" s="102" t="s">
        <v>82</v>
      </c>
      <c r="O92" s="91"/>
      <c r="P92" s="105">
        <v>194598646.79448542</v>
      </c>
      <c r="Q92" s="103">
        <v>1.1886895173392056E-2</v>
      </c>
      <c r="R92" s="99">
        <f t="shared" si="106"/>
        <v>2313173.715329994</v>
      </c>
      <c r="S92" s="99">
        <f t="shared" ref="S92:S95" si="113">R92*$S$2</f>
        <v>67716.826645860201</v>
      </c>
      <c r="T92" s="221">
        <f t="shared" si="107"/>
        <v>2380890.541975854</v>
      </c>
      <c r="V92" s="105">
        <v>193303924.53914726</v>
      </c>
      <c r="W92" s="103">
        <v>1.2898086179521304E-2</v>
      </c>
      <c r="X92" s="99">
        <f t="shared" si="108"/>
        <v>2493250.6775456043</v>
      </c>
      <c r="Y92" s="99">
        <f>X92*$Y$2</f>
        <v>72988.475874992131</v>
      </c>
      <c r="Z92" s="221">
        <f t="shared" si="109"/>
        <v>2566239.1534205964</v>
      </c>
      <c r="AB92" s="222">
        <f>V92</f>
        <v>193303924.53914726</v>
      </c>
      <c r="AC92" s="103">
        <v>1.2898086179521304E-2</v>
      </c>
      <c r="AD92" s="99">
        <f t="shared" si="111"/>
        <v>2493250.6775456043</v>
      </c>
      <c r="AE92" s="99">
        <f t="shared" si="74"/>
        <v>72988.475874992131</v>
      </c>
      <c r="AF92" s="221">
        <f t="shared" si="112"/>
        <v>2566239.1534205964</v>
      </c>
    </row>
    <row r="93" spans="2:32" x14ac:dyDescent="0.2">
      <c r="B93" s="223" t="s">
        <v>127</v>
      </c>
      <c r="C93" s="223" t="s">
        <v>70</v>
      </c>
      <c r="D93" s="223" t="s">
        <v>128</v>
      </c>
      <c r="E93" s="223" t="s">
        <v>161</v>
      </c>
      <c r="F93" s="223" t="s">
        <v>157</v>
      </c>
      <c r="G93" s="107" t="s">
        <v>166</v>
      </c>
      <c r="H93" s="223" t="s">
        <v>135</v>
      </c>
      <c r="I93" s="223"/>
      <c r="J93" s="107"/>
      <c r="K93" s="101">
        <f t="shared" si="78"/>
        <v>87</v>
      </c>
      <c r="L93" s="102"/>
      <c r="M93" s="104" t="s">
        <v>53</v>
      </c>
      <c r="N93" s="102" t="s">
        <v>82</v>
      </c>
      <c r="O93" s="91"/>
      <c r="P93" s="105">
        <v>40326256.721025079</v>
      </c>
      <c r="Q93" s="103">
        <v>1.0370079234600944E-2</v>
      </c>
      <c r="R93" s="99">
        <f t="shared" si="106"/>
        <v>418186.47743188892</v>
      </c>
      <c r="S93" s="99">
        <f t="shared" si="113"/>
        <v>12242.167983418534</v>
      </c>
      <c r="T93" s="221">
        <f t="shared" si="107"/>
        <v>430428.64541530749</v>
      </c>
      <c r="V93" s="105">
        <v>41148920.547687493</v>
      </c>
      <c r="W93" s="103">
        <v>1.1396652583713227E-2</v>
      </c>
      <c r="X93" s="99">
        <f t="shared" si="108"/>
        <v>468959.95167681295</v>
      </c>
      <c r="Y93" s="99">
        <f>X93*$Y$2</f>
        <v>13728.532163880043</v>
      </c>
      <c r="Z93" s="221">
        <f t="shared" si="109"/>
        <v>482688.48384069302</v>
      </c>
      <c r="AB93" s="222">
        <f t="shared" ref="AB93:AB95" si="114">V93</f>
        <v>41148920.547687493</v>
      </c>
      <c r="AC93" s="103">
        <v>1.1396652583713227E-2</v>
      </c>
      <c r="AD93" s="99">
        <f t="shared" si="111"/>
        <v>468959.95167681295</v>
      </c>
      <c r="AE93" s="99">
        <f t="shared" si="74"/>
        <v>13728.532163880043</v>
      </c>
      <c r="AF93" s="221">
        <f t="shared" si="112"/>
        <v>482688.48384069302</v>
      </c>
    </row>
    <row r="94" spans="2:32" x14ac:dyDescent="0.2">
      <c r="B94" s="223" t="s">
        <v>127</v>
      </c>
      <c r="C94" s="223" t="s">
        <v>70</v>
      </c>
      <c r="D94" s="223" t="s">
        <v>128</v>
      </c>
      <c r="E94" s="223" t="s">
        <v>161</v>
      </c>
      <c r="F94" s="223" t="s">
        <v>157</v>
      </c>
      <c r="G94" s="107" t="s">
        <v>166</v>
      </c>
      <c r="H94" s="223" t="s">
        <v>136</v>
      </c>
      <c r="I94" s="223"/>
      <c r="J94" s="107"/>
      <c r="K94" s="101">
        <f t="shared" si="78"/>
        <v>88</v>
      </c>
      <c r="L94" s="102"/>
      <c r="M94" s="104" t="s">
        <v>52</v>
      </c>
      <c r="N94" s="102" t="s">
        <v>82</v>
      </c>
      <c r="O94" s="91"/>
      <c r="P94" s="105">
        <v>180109955.43077078</v>
      </c>
      <c r="Q94" s="103">
        <v>1.0370079234600944E-2</v>
      </c>
      <c r="R94" s="99">
        <f t="shared" si="106"/>
        <v>1867754.5087575375</v>
      </c>
      <c r="S94" s="99">
        <f t="shared" si="113"/>
        <v>54677.436220355252</v>
      </c>
      <c r="T94" s="221">
        <f t="shared" si="107"/>
        <v>1922431.9449778928</v>
      </c>
      <c r="V94" s="105">
        <v>183817330.9224754</v>
      </c>
      <c r="W94" s="103">
        <v>1.1396652583713227E-2</v>
      </c>
      <c r="X94" s="99">
        <f t="shared" si="108"/>
        <v>2094902.2593888985</v>
      </c>
      <c r="Y94" s="99">
        <f>X94*$Y$2</f>
        <v>61327.055637419493</v>
      </c>
      <c r="Z94" s="221">
        <f t="shared" si="109"/>
        <v>2156229.3150263182</v>
      </c>
      <c r="AB94" s="222">
        <f t="shared" si="114"/>
        <v>183817330.9224754</v>
      </c>
      <c r="AC94" s="103">
        <v>1.1396652583713227E-2</v>
      </c>
      <c r="AD94" s="99">
        <f t="shared" si="111"/>
        <v>2094902.2593888985</v>
      </c>
      <c r="AE94" s="99">
        <f t="shared" si="74"/>
        <v>61327.055637419493</v>
      </c>
      <c r="AF94" s="221">
        <f t="shared" si="112"/>
        <v>2156229.3150263182</v>
      </c>
    </row>
    <row r="95" spans="2:32" x14ac:dyDescent="0.2">
      <c r="B95" s="223" t="s">
        <v>127</v>
      </c>
      <c r="C95" s="223" t="s">
        <v>70</v>
      </c>
      <c r="D95" s="223" t="s">
        <v>128</v>
      </c>
      <c r="E95" s="223" t="s">
        <v>161</v>
      </c>
      <c r="F95" s="223" t="s">
        <v>157</v>
      </c>
      <c r="G95" s="107" t="s">
        <v>166</v>
      </c>
      <c r="H95" s="223" t="s">
        <v>24</v>
      </c>
      <c r="I95" s="223"/>
      <c r="J95" s="107"/>
      <c r="K95" s="101">
        <f t="shared" si="78"/>
        <v>89</v>
      </c>
      <c r="L95" s="102"/>
      <c r="M95" s="104" t="s">
        <v>24</v>
      </c>
      <c r="N95" s="102" t="s">
        <v>82</v>
      </c>
      <c r="O95" s="91"/>
      <c r="P95" s="105">
        <v>26733022.625482939</v>
      </c>
      <c r="Q95" s="103">
        <v>1.0370079234600944E-2</v>
      </c>
      <c r="R95" s="99">
        <f t="shared" si="106"/>
        <v>277223.56280663784</v>
      </c>
      <c r="S95" s="99">
        <f t="shared" si="113"/>
        <v>8115.5599427372654</v>
      </c>
      <c r="T95" s="221">
        <f t="shared" si="107"/>
        <v>285339.12274937512</v>
      </c>
      <c r="V95" s="105">
        <v>27271488.883999556</v>
      </c>
      <c r="W95" s="103">
        <v>1.1396652583713227E-2</v>
      </c>
      <c r="X95" s="99">
        <f t="shared" si="108"/>
        <v>310803.68425154011</v>
      </c>
      <c r="Y95" s="99">
        <f>X95*$Y$2</f>
        <v>9098.5986343674704</v>
      </c>
      <c r="Z95" s="221">
        <f t="shared" si="109"/>
        <v>319902.28288590757</v>
      </c>
      <c r="AB95" s="222">
        <f t="shared" si="114"/>
        <v>27271488.883999556</v>
      </c>
      <c r="AC95" s="103">
        <v>1.1396652583713227E-2</v>
      </c>
      <c r="AD95" s="99">
        <f t="shared" si="111"/>
        <v>310803.68425154011</v>
      </c>
      <c r="AE95" s="99">
        <f t="shared" si="74"/>
        <v>9098.5986343674704</v>
      </c>
      <c r="AF95" s="221">
        <f t="shared" si="112"/>
        <v>319902.28288590757</v>
      </c>
    </row>
    <row r="96" spans="2:32" x14ac:dyDescent="0.2">
      <c r="B96" s="91"/>
      <c r="C96" s="91"/>
      <c r="D96" s="91"/>
      <c r="E96" s="91"/>
      <c r="F96" s="91"/>
      <c r="G96" s="91"/>
      <c r="H96" s="91"/>
      <c r="I96" s="91"/>
      <c r="J96" s="91"/>
      <c r="K96" s="92"/>
      <c r="L96" s="91"/>
      <c r="M96" s="96"/>
      <c r="N96" s="91"/>
      <c r="O96" s="91"/>
      <c r="P96" s="105"/>
      <c r="V96" s="105"/>
    </row>
    <row r="97" spans="2:32" x14ac:dyDescent="0.2">
      <c r="B97" s="91"/>
      <c r="C97" s="91"/>
      <c r="D97" s="91"/>
      <c r="E97" s="91"/>
      <c r="F97" s="91"/>
      <c r="G97" s="91"/>
      <c r="H97" s="91"/>
      <c r="I97" s="91"/>
      <c r="J97" s="91"/>
      <c r="K97" s="92"/>
      <c r="L97" s="91"/>
      <c r="M97" s="96"/>
      <c r="N97" s="91"/>
      <c r="O97" s="91"/>
      <c r="P97" s="105"/>
      <c r="V97" s="105"/>
    </row>
    <row r="98" spans="2:32" x14ac:dyDescent="0.2">
      <c r="B98" s="91" t="s">
        <v>127</v>
      </c>
      <c r="C98" s="91" t="s">
        <v>70</v>
      </c>
      <c r="D98" s="91" t="s">
        <v>170</v>
      </c>
      <c r="E98" s="91" t="s">
        <v>129</v>
      </c>
      <c r="F98" s="91"/>
      <c r="G98" s="91"/>
      <c r="H98" s="91"/>
      <c r="I98" s="91"/>
      <c r="J98" s="91"/>
      <c r="K98" s="92">
        <f>IF(ISNUMBER(SEARCH("continued", M98)), K65+1, IF(ISNUMBER(SEARCH("schedule", M98)), 1, IF(M98="", "", K66+1)))</f>
        <v>1</v>
      </c>
      <c r="L98" s="91"/>
      <c r="M98" s="93" t="s">
        <v>171</v>
      </c>
      <c r="N98" s="91"/>
      <c r="O98" s="91"/>
      <c r="P98" s="105"/>
      <c r="V98" s="105"/>
    </row>
    <row r="99" spans="2:32" x14ac:dyDescent="0.2">
      <c r="B99" s="91" t="s">
        <v>127</v>
      </c>
      <c r="C99" s="91" t="s">
        <v>70</v>
      </c>
      <c r="D99" s="91" t="s">
        <v>170</v>
      </c>
      <c r="E99" s="91"/>
      <c r="F99" s="91"/>
      <c r="G99" s="91"/>
      <c r="H99" s="91"/>
      <c r="I99" s="91"/>
      <c r="J99" s="91"/>
      <c r="K99" s="92">
        <f>IF(ISNUMBER(SEARCH("continued", M99)), K66+1, IF(ISNUMBER(SEARCH("schedule", M99)), 1, IF(M99="", "", K98+1)))</f>
        <v>2</v>
      </c>
      <c r="L99" s="91"/>
      <c r="M99" s="91" t="s">
        <v>131</v>
      </c>
      <c r="N99" s="91"/>
      <c r="O99" s="91"/>
      <c r="P99" s="95"/>
      <c r="V99" s="95"/>
    </row>
    <row r="100" spans="2:32" x14ac:dyDescent="0.2">
      <c r="B100" s="91" t="s">
        <v>127</v>
      </c>
      <c r="C100" s="91" t="s">
        <v>70</v>
      </c>
      <c r="D100" s="91" t="s">
        <v>170</v>
      </c>
      <c r="E100" s="91"/>
      <c r="F100" s="91"/>
      <c r="G100" s="91"/>
      <c r="H100" s="91"/>
      <c r="I100" s="91"/>
      <c r="J100" s="91"/>
      <c r="K100" s="92">
        <f t="shared" si="78"/>
        <v>3</v>
      </c>
      <c r="L100" s="91"/>
      <c r="M100" s="96" t="s">
        <v>132</v>
      </c>
      <c r="N100" s="91"/>
      <c r="O100" s="91"/>
      <c r="P100" s="95"/>
      <c r="V100" s="95"/>
    </row>
    <row r="101" spans="2:32" x14ac:dyDescent="0.2">
      <c r="B101" s="91" t="s">
        <v>127</v>
      </c>
      <c r="C101" s="91" t="s">
        <v>70</v>
      </c>
      <c r="D101" s="91" t="s">
        <v>170</v>
      </c>
      <c r="E101" s="91" t="s">
        <v>133</v>
      </c>
      <c r="F101" s="91"/>
      <c r="G101" s="91"/>
      <c r="H101" s="91" t="s">
        <v>21</v>
      </c>
      <c r="I101" s="91"/>
      <c r="J101" s="91" t="s">
        <v>134</v>
      </c>
      <c r="K101" s="92">
        <f t="shared" si="78"/>
        <v>4</v>
      </c>
      <c r="L101" s="91"/>
      <c r="M101" s="97" t="s">
        <v>21</v>
      </c>
      <c r="N101" s="91" t="s">
        <v>80</v>
      </c>
      <c r="O101" s="91"/>
      <c r="P101" s="95">
        <v>529.20622617841468</v>
      </c>
      <c r="Q101" s="98">
        <v>186.304</v>
      </c>
      <c r="R101" s="99">
        <f t="shared" ref="R101:R105" si="115">P101*Q101</f>
        <v>98593.236761943364</v>
      </c>
      <c r="S101" s="99">
        <f>R101*$S$2</f>
        <v>2886.2601533194065</v>
      </c>
      <c r="T101" s="221">
        <f t="shared" ref="T101:T105" si="116">S101+R101</f>
        <v>101479.49691526277</v>
      </c>
      <c r="V101" s="95">
        <v>552.2021541950113</v>
      </c>
      <c r="W101" s="98">
        <v>223.56479999999999</v>
      </c>
      <c r="X101" s="99">
        <f t="shared" ref="X101:X105" si="117">V101*W101</f>
        <v>123452.96416217685</v>
      </c>
      <c r="Y101" s="99">
        <f>X101*$Y$2</f>
        <v>3614.0143378272473</v>
      </c>
      <c r="Z101" s="221">
        <f t="shared" ref="Z101:Z105" si="118">Y101+X101</f>
        <v>127066.9785000041</v>
      </c>
      <c r="AB101" s="222">
        <f t="shared" ref="AB101" si="119">V101</f>
        <v>552.2021541950113</v>
      </c>
      <c r="AC101" s="98">
        <v>268.27776</v>
      </c>
      <c r="AD101" s="99">
        <f t="shared" ref="AD101:AD105" si="120">AB101*AC101</f>
        <v>148143.55699461224</v>
      </c>
      <c r="AE101" s="99">
        <f>AD101*$AE$2</f>
        <v>4336.8172053926974</v>
      </c>
      <c r="AF101" s="221">
        <f t="shared" ref="AF101:AF105" si="121">AE101+AD101</f>
        <v>152480.37420000494</v>
      </c>
    </row>
    <row r="102" spans="2:32" x14ac:dyDescent="0.2">
      <c r="B102" s="91" t="s">
        <v>127</v>
      </c>
      <c r="C102" s="91" t="s">
        <v>70</v>
      </c>
      <c r="D102" s="91" t="s">
        <v>170</v>
      </c>
      <c r="E102" s="91" t="s">
        <v>133</v>
      </c>
      <c r="F102" s="91"/>
      <c r="G102" s="91"/>
      <c r="H102" s="91" t="s">
        <v>22</v>
      </c>
      <c r="I102" s="91"/>
      <c r="J102" s="91" t="s">
        <v>134</v>
      </c>
      <c r="K102" s="92">
        <f t="shared" si="78"/>
        <v>5</v>
      </c>
      <c r="L102" s="91"/>
      <c r="M102" s="97" t="s">
        <v>22</v>
      </c>
      <c r="N102" s="91" t="s">
        <v>80</v>
      </c>
      <c r="O102" s="91"/>
      <c r="P102" s="95">
        <v>10.79377382158537</v>
      </c>
      <c r="Q102" s="98">
        <v>50.237889571035566</v>
      </c>
      <c r="R102" s="99">
        <f t="shared" si="115"/>
        <v>542.25641730354039</v>
      </c>
      <c r="S102" s="99">
        <f t="shared" ref="S102:S105" si="122">R102*$S$2</f>
        <v>15.874243929367262</v>
      </c>
      <c r="T102" s="221">
        <f t="shared" si="116"/>
        <v>558.13066123290764</v>
      </c>
      <c r="V102" s="95">
        <v>11.797845804988661</v>
      </c>
      <c r="W102" s="98">
        <v>60.285467485242677</v>
      </c>
      <c r="X102" s="99">
        <f t="shared" si="117"/>
        <v>711.23864967255065</v>
      </c>
      <c r="Y102" s="99">
        <f>X102*$Y$2</f>
        <v>20.821101339914271</v>
      </c>
      <c r="Z102" s="221">
        <f t="shared" si="118"/>
        <v>732.05975101246497</v>
      </c>
      <c r="AB102" s="222">
        <f>V102</f>
        <v>11.797845804988661</v>
      </c>
      <c r="AC102" s="98">
        <v>72.342560982291204</v>
      </c>
      <c r="AD102" s="99">
        <f t="shared" si="120"/>
        <v>853.48637960706071</v>
      </c>
      <c r="AE102" s="99">
        <f>AD102*$AE$2</f>
        <v>24.985321607897124</v>
      </c>
      <c r="AF102" s="221">
        <f t="shared" si="121"/>
        <v>878.47170121495787</v>
      </c>
    </row>
    <row r="103" spans="2:32" x14ac:dyDescent="0.2">
      <c r="B103" s="91" t="s">
        <v>127</v>
      </c>
      <c r="C103" s="91" t="s">
        <v>70</v>
      </c>
      <c r="D103" s="91" t="s">
        <v>170</v>
      </c>
      <c r="E103" s="91" t="s">
        <v>133</v>
      </c>
      <c r="F103" s="91"/>
      <c r="G103" s="91"/>
      <c r="H103" s="91" t="s">
        <v>135</v>
      </c>
      <c r="I103" s="91"/>
      <c r="J103" s="91" t="s">
        <v>134</v>
      </c>
      <c r="K103" s="92">
        <f t="shared" si="78"/>
        <v>6</v>
      </c>
      <c r="L103" s="91"/>
      <c r="M103" s="97" t="s">
        <v>53</v>
      </c>
      <c r="N103" s="91" t="s">
        <v>80</v>
      </c>
      <c r="O103" s="91"/>
      <c r="P103" s="95">
        <v>0</v>
      </c>
      <c r="Q103" s="98">
        <v>18172.181137240001</v>
      </c>
      <c r="R103" s="99">
        <f t="shared" si="115"/>
        <v>0</v>
      </c>
      <c r="S103" s="99">
        <f t="shared" si="122"/>
        <v>0</v>
      </c>
      <c r="T103" s="221">
        <f t="shared" si="116"/>
        <v>0</v>
      </c>
      <c r="V103" s="95">
        <v>0</v>
      </c>
      <c r="W103" s="98">
        <v>21806.617364688002</v>
      </c>
      <c r="X103" s="99">
        <f t="shared" si="117"/>
        <v>0</v>
      </c>
      <c r="Y103" s="99">
        <f>X103*$Y$2</f>
        <v>0</v>
      </c>
      <c r="Z103" s="221">
        <f t="shared" si="118"/>
        <v>0</v>
      </c>
      <c r="AB103" s="222">
        <f t="shared" ref="AB103:AB105" si="123">V103</f>
        <v>0</v>
      </c>
      <c r="AC103" s="98">
        <v>26167.9408376256</v>
      </c>
      <c r="AD103" s="99">
        <f t="shared" si="120"/>
        <v>0</v>
      </c>
      <c r="AE103" s="99">
        <f>AD103*$AE$2</f>
        <v>0</v>
      </c>
      <c r="AF103" s="221">
        <f t="shared" si="121"/>
        <v>0</v>
      </c>
    </row>
    <row r="104" spans="2:32" x14ac:dyDescent="0.2">
      <c r="B104" s="91" t="s">
        <v>127</v>
      </c>
      <c r="C104" s="91" t="s">
        <v>70</v>
      </c>
      <c r="D104" s="91" t="s">
        <v>170</v>
      </c>
      <c r="E104" s="91" t="s">
        <v>133</v>
      </c>
      <c r="F104" s="91"/>
      <c r="G104" s="91"/>
      <c r="H104" s="91" t="s">
        <v>136</v>
      </c>
      <c r="I104" s="91"/>
      <c r="J104" s="91" t="s">
        <v>134</v>
      </c>
      <c r="K104" s="92">
        <f t="shared" si="78"/>
        <v>7</v>
      </c>
      <c r="L104" s="91"/>
      <c r="M104" s="97" t="s">
        <v>52</v>
      </c>
      <c r="N104" s="91" t="s">
        <v>80</v>
      </c>
      <c r="O104" s="91"/>
      <c r="P104" s="95">
        <v>0</v>
      </c>
      <c r="Q104" s="98">
        <v>18172.181137240001</v>
      </c>
      <c r="R104" s="99">
        <f t="shared" si="115"/>
        <v>0</v>
      </c>
      <c r="S104" s="99">
        <f t="shared" si="122"/>
        <v>0</v>
      </c>
      <c r="T104" s="221">
        <f t="shared" si="116"/>
        <v>0</v>
      </c>
      <c r="V104" s="95">
        <v>0</v>
      </c>
      <c r="W104" s="98">
        <v>21806.617364688002</v>
      </c>
      <c r="X104" s="99">
        <f t="shared" si="117"/>
        <v>0</v>
      </c>
      <c r="Y104" s="99">
        <f>X104*$Y$2</f>
        <v>0</v>
      </c>
      <c r="Z104" s="221">
        <f t="shared" si="118"/>
        <v>0</v>
      </c>
      <c r="AB104" s="222">
        <f t="shared" si="123"/>
        <v>0</v>
      </c>
      <c r="AC104" s="98">
        <v>26167.9408376256</v>
      </c>
      <c r="AD104" s="99">
        <f t="shared" si="120"/>
        <v>0</v>
      </c>
      <c r="AE104" s="99">
        <f>AD104*$AE$2</f>
        <v>0</v>
      </c>
      <c r="AF104" s="221">
        <f t="shared" si="121"/>
        <v>0</v>
      </c>
    </row>
    <row r="105" spans="2:32" x14ac:dyDescent="0.2">
      <c r="B105" s="91" t="s">
        <v>127</v>
      </c>
      <c r="C105" s="91" t="s">
        <v>70</v>
      </c>
      <c r="D105" s="91" t="s">
        <v>170</v>
      </c>
      <c r="E105" s="91" t="s">
        <v>133</v>
      </c>
      <c r="F105" s="91"/>
      <c r="G105" s="91"/>
      <c r="H105" s="91" t="s">
        <v>24</v>
      </c>
      <c r="I105" s="91"/>
      <c r="J105" s="91" t="s">
        <v>134</v>
      </c>
      <c r="K105" s="92">
        <f t="shared" si="78"/>
        <v>8</v>
      </c>
      <c r="L105" s="91"/>
      <c r="M105" s="97" t="s">
        <v>24</v>
      </c>
      <c r="N105" s="91" t="s">
        <v>80</v>
      </c>
      <c r="O105" s="91"/>
      <c r="P105" s="95">
        <v>0</v>
      </c>
      <c r="Q105" s="98">
        <v>270.94400000000002</v>
      </c>
      <c r="R105" s="99">
        <f t="shared" si="115"/>
        <v>0</v>
      </c>
      <c r="S105" s="99">
        <f t="shared" si="122"/>
        <v>0</v>
      </c>
      <c r="T105" s="221">
        <f t="shared" si="116"/>
        <v>0</v>
      </c>
      <c r="V105" s="95">
        <v>0</v>
      </c>
      <c r="W105" s="98">
        <v>325.13280000000003</v>
      </c>
      <c r="X105" s="99">
        <f t="shared" si="117"/>
        <v>0</v>
      </c>
      <c r="Y105" s="99">
        <f>X105*$Y$2</f>
        <v>0</v>
      </c>
      <c r="Z105" s="221">
        <f t="shared" si="118"/>
        <v>0</v>
      </c>
      <c r="AB105" s="222">
        <f t="shared" si="123"/>
        <v>0</v>
      </c>
      <c r="AC105" s="98">
        <v>390.15936000000005</v>
      </c>
      <c r="AD105" s="99">
        <f t="shared" si="120"/>
        <v>0</v>
      </c>
      <c r="AE105" s="99">
        <f>AD105*$AE$2</f>
        <v>0</v>
      </c>
      <c r="AF105" s="221">
        <f t="shared" si="121"/>
        <v>0</v>
      </c>
    </row>
    <row r="106" spans="2:32" x14ac:dyDescent="0.2">
      <c r="B106" s="91" t="s">
        <v>127</v>
      </c>
      <c r="C106" s="91" t="s">
        <v>70</v>
      </c>
      <c r="D106" s="91" t="s">
        <v>170</v>
      </c>
      <c r="E106" s="91"/>
      <c r="F106" s="91"/>
      <c r="G106" s="91"/>
      <c r="H106" s="91"/>
      <c r="I106" s="91"/>
      <c r="J106" s="91"/>
      <c r="K106" s="92">
        <f t="shared" si="78"/>
        <v>9</v>
      </c>
      <c r="L106" s="91"/>
      <c r="M106" s="96" t="s">
        <v>137</v>
      </c>
      <c r="N106" s="91"/>
      <c r="O106" s="91"/>
      <c r="P106" s="95"/>
      <c r="Q106" s="98"/>
      <c r="V106" s="95"/>
      <c r="W106" s="98"/>
      <c r="AC106" s="98"/>
    </row>
    <row r="107" spans="2:32" x14ac:dyDescent="0.2">
      <c r="B107" s="91" t="s">
        <v>127</v>
      </c>
      <c r="C107" s="91" t="s">
        <v>70</v>
      </c>
      <c r="D107" s="91" t="s">
        <v>170</v>
      </c>
      <c r="E107" s="91" t="s">
        <v>133</v>
      </c>
      <c r="F107" s="91"/>
      <c r="G107" s="91"/>
      <c r="H107" s="91" t="s">
        <v>21</v>
      </c>
      <c r="I107" s="91"/>
      <c r="J107" s="91" t="s">
        <v>138</v>
      </c>
      <c r="K107" s="92">
        <f t="shared" si="78"/>
        <v>10</v>
      </c>
      <c r="L107" s="91"/>
      <c r="M107" s="97" t="s">
        <v>21</v>
      </c>
      <c r="N107" s="91" t="s">
        <v>80</v>
      </c>
      <c r="O107" s="91"/>
      <c r="P107" s="95">
        <v>0</v>
      </c>
      <c r="Q107" s="98">
        <v>744.64262691226372</v>
      </c>
      <c r="R107" s="99">
        <f t="shared" ref="R107:R111" si="124">P107*Q107</f>
        <v>0</v>
      </c>
      <c r="S107" s="99">
        <f>R107*$S$2</f>
        <v>0</v>
      </c>
      <c r="T107" s="221">
        <f t="shared" ref="T107:T111" si="125">S107+R107</f>
        <v>0</v>
      </c>
      <c r="V107" s="95">
        <v>0</v>
      </c>
      <c r="W107" s="98">
        <v>798.76836328365005</v>
      </c>
      <c r="X107" s="99">
        <f t="shared" ref="X107:X111" si="126">V107*W107</f>
        <v>0</v>
      </c>
      <c r="Y107" s="99">
        <f>X107*$Y$2</f>
        <v>0</v>
      </c>
      <c r="Z107" s="221">
        <f t="shared" ref="Z107:Z111" si="127">Y107+X107</f>
        <v>0</v>
      </c>
      <c r="AB107" s="222">
        <f t="shared" ref="AB107" si="128">V107</f>
        <v>0</v>
      </c>
      <c r="AC107" s="98">
        <v>798.76836328365005</v>
      </c>
      <c r="AD107" s="99">
        <f t="shared" ref="AD107:AD111" si="129">AB107*AC107</f>
        <v>0</v>
      </c>
      <c r="AE107" s="99">
        <f>AD107*$AE$2</f>
        <v>0</v>
      </c>
      <c r="AF107" s="221">
        <f t="shared" ref="AF107:AF111" si="130">AE107+AD107</f>
        <v>0</v>
      </c>
    </row>
    <row r="108" spans="2:32" x14ac:dyDescent="0.2">
      <c r="B108" s="91" t="s">
        <v>127</v>
      </c>
      <c r="C108" s="91" t="s">
        <v>70</v>
      </c>
      <c r="D108" s="91" t="s">
        <v>170</v>
      </c>
      <c r="E108" s="91" t="s">
        <v>133</v>
      </c>
      <c r="F108" s="91"/>
      <c r="G108" s="91"/>
      <c r="H108" s="91" t="s">
        <v>22</v>
      </c>
      <c r="I108" s="91"/>
      <c r="J108" s="91" t="s">
        <v>138</v>
      </c>
      <c r="K108" s="92">
        <f t="shared" si="78"/>
        <v>11</v>
      </c>
      <c r="L108" s="91"/>
      <c r="M108" s="97" t="s">
        <v>22</v>
      </c>
      <c r="N108" s="91" t="s">
        <v>80</v>
      </c>
      <c r="O108" s="91"/>
      <c r="P108" s="95">
        <v>0</v>
      </c>
      <c r="Q108" s="98">
        <v>59.767830378442255</v>
      </c>
      <c r="R108" s="99">
        <f t="shared" si="124"/>
        <v>0</v>
      </c>
      <c r="S108" s="99">
        <f t="shared" ref="S108:S111" si="131">R108*$S$2</f>
        <v>0</v>
      </c>
      <c r="T108" s="221">
        <f t="shared" si="125"/>
        <v>0</v>
      </c>
      <c r="V108" s="95">
        <v>0</v>
      </c>
      <c r="W108" s="98">
        <v>71.721396454130698</v>
      </c>
      <c r="X108" s="99">
        <f t="shared" si="126"/>
        <v>0</v>
      </c>
      <c r="Y108" s="99">
        <f>X108*$Y$2</f>
        <v>0</v>
      </c>
      <c r="Z108" s="221">
        <f t="shared" si="127"/>
        <v>0</v>
      </c>
      <c r="AB108" s="222">
        <f>V108</f>
        <v>0</v>
      </c>
      <c r="AC108" s="98">
        <v>86.065675744956835</v>
      </c>
      <c r="AD108" s="99">
        <f t="shared" si="129"/>
        <v>0</v>
      </c>
      <c r="AE108" s="99">
        <f>AD108*$AE$2</f>
        <v>0</v>
      </c>
      <c r="AF108" s="221">
        <f t="shared" si="130"/>
        <v>0</v>
      </c>
    </row>
    <row r="109" spans="2:32" x14ac:dyDescent="0.2">
      <c r="B109" s="91" t="s">
        <v>127</v>
      </c>
      <c r="C109" s="91" t="s">
        <v>70</v>
      </c>
      <c r="D109" s="91" t="s">
        <v>170</v>
      </c>
      <c r="E109" s="91" t="s">
        <v>133</v>
      </c>
      <c r="F109" s="91"/>
      <c r="G109" s="91"/>
      <c r="H109" s="91" t="s">
        <v>135</v>
      </c>
      <c r="I109" s="91"/>
      <c r="J109" s="91" t="s">
        <v>138</v>
      </c>
      <c r="K109" s="92">
        <f t="shared" si="78"/>
        <v>12</v>
      </c>
      <c r="L109" s="91"/>
      <c r="M109" s="97" t="s">
        <v>53</v>
      </c>
      <c r="N109" s="91" t="s">
        <v>80</v>
      </c>
      <c r="O109" s="91"/>
      <c r="P109" s="95">
        <v>0</v>
      </c>
      <c r="Q109" s="98">
        <v>18172.181137240001</v>
      </c>
      <c r="R109" s="99">
        <f t="shared" si="124"/>
        <v>0</v>
      </c>
      <c r="S109" s="99">
        <f t="shared" si="131"/>
        <v>0</v>
      </c>
      <c r="T109" s="221">
        <f t="shared" si="125"/>
        <v>0</v>
      </c>
      <c r="V109" s="95">
        <v>0</v>
      </c>
      <c r="W109" s="98">
        <v>21806.617364688002</v>
      </c>
      <c r="X109" s="99">
        <f t="shared" si="126"/>
        <v>0</v>
      </c>
      <c r="Y109" s="99">
        <f>X109*$Y$2</f>
        <v>0</v>
      </c>
      <c r="Z109" s="221">
        <f t="shared" si="127"/>
        <v>0</v>
      </c>
      <c r="AB109" s="222">
        <f t="shared" ref="AB109:AB111" si="132">V109</f>
        <v>0</v>
      </c>
      <c r="AC109" s="98">
        <v>26167.9408376256</v>
      </c>
      <c r="AD109" s="99">
        <f t="shared" si="129"/>
        <v>0</v>
      </c>
      <c r="AE109" s="99">
        <f>AD109*$AE$2</f>
        <v>0</v>
      </c>
      <c r="AF109" s="221">
        <f t="shared" si="130"/>
        <v>0</v>
      </c>
    </row>
    <row r="110" spans="2:32" x14ac:dyDescent="0.2">
      <c r="B110" s="91" t="s">
        <v>127</v>
      </c>
      <c r="C110" s="91" t="s">
        <v>70</v>
      </c>
      <c r="D110" s="91" t="s">
        <v>170</v>
      </c>
      <c r="E110" s="91" t="s">
        <v>133</v>
      </c>
      <c r="F110" s="91"/>
      <c r="G110" s="91"/>
      <c r="H110" s="91" t="s">
        <v>136</v>
      </c>
      <c r="I110" s="91"/>
      <c r="J110" s="91" t="s">
        <v>138</v>
      </c>
      <c r="K110" s="92">
        <f t="shared" si="78"/>
        <v>13</v>
      </c>
      <c r="L110" s="91"/>
      <c r="M110" s="97" t="s">
        <v>52</v>
      </c>
      <c r="N110" s="91" t="s">
        <v>80</v>
      </c>
      <c r="O110" s="91"/>
      <c r="P110" s="95">
        <v>0</v>
      </c>
      <c r="Q110" s="98">
        <v>18172.181137240001</v>
      </c>
      <c r="R110" s="99">
        <f t="shared" si="124"/>
        <v>0</v>
      </c>
      <c r="S110" s="99">
        <f t="shared" si="131"/>
        <v>0</v>
      </c>
      <c r="T110" s="221">
        <f t="shared" si="125"/>
        <v>0</v>
      </c>
      <c r="V110" s="95">
        <v>0</v>
      </c>
      <c r="W110" s="98">
        <v>21806.617364688002</v>
      </c>
      <c r="X110" s="99">
        <f t="shared" si="126"/>
        <v>0</v>
      </c>
      <c r="Y110" s="99">
        <f>X110*$Y$2</f>
        <v>0</v>
      </c>
      <c r="Z110" s="221">
        <f t="shared" si="127"/>
        <v>0</v>
      </c>
      <c r="AB110" s="222">
        <f t="shared" si="132"/>
        <v>0</v>
      </c>
      <c r="AC110" s="98">
        <v>26167.9408376256</v>
      </c>
      <c r="AD110" s="99">
        <f t="shared" si="129"/>
        <v>0</v>
      </c>
      <c r="AE110" s="99">
        <f>AD110*$AE$2</f>
        <v>0</v>
      </c>
      <c r="AF110" s="221">
        <f t="shared" si="130"/>
        <v>0</v>
      </c>
    </row>
    <row r="111" spans="2:32" x14ac:dyDescent="0.2">
      <c r="B111" s="91" t="s">
        <v>127</v>
      </c>
      <c r="C111" s="91" t="s">
        <v>70</v>
      </c>
      <c r="D111" s="91" t="s">
        <v>170</v>
      </c>
      <c r="E111" s="91" t="s">
        <v>133</v>
      </c>
      <c r="F111" s="91"/>
      <c r="G111" s="91"/>
      <c r="H111" s="91" t="s">
        <v>24</v>
      </c>
      <c r="I111" s="91"/>
      <c r="J111" s="91" t="s">
        <v>138</v>
      </c>
      <c r="K111" s="92">
        <f t="shared" si="78"/>
        <v>14</v>
      </c>
      <c r="L111" s="91"/>
      <c r="M111" s="97" t="s">
        <v>24</v>
      </c>
      <c r="N111" s="91" t="s">
        <v>80</v>
      </c>
      <c r="O111" s="91"/>
      <c r="P111" s="95">
        <v>0</v>
      </c>
      <c r="Q111" s="98">
        <v>1084.0640000000001</v>
      </c>
      <c r="R111" s="99">
        <f t="shared" si="124"/>
        <v>0</v>
      </c>
      <c r="S111" s="99">
        <f t="shared" si="131"/>
        <v>0</v>
      </c>
      <c r="T111" s="221">
        <f t="shared" si="125"/>
        <v>0</v>
      </c>
      <c r="V111" s="95">
        <v>0</v>
      </c>
      <c r="W111" s="98">
        <v>1300.8768</v>
      </c>
      <c r="X111" s="99">
        <f t="shared" si="126"/>
        <v>0</v>
      </c>
      <c r="Y111" s="99">
        <f>X111*$Y$2</f>
        <v>0</v>
      </c>
      <c r="Z111" s="221">
        <f t="shared" si="127"/>
        <v>0</v>
      </c>
      <c r="AB111" s="222">
        <f t="shared" si="132"/>
        <v>0</v>
      </c>
      <c r="AC111" s="98">
        <v>1561.05216</v>
      </c>
      <c r="AD111" s="99">
        <f t="shared" si="129"/>
        <v>0</v>
      </c>
      <c r="AE111" s="99">
        <f>AD111*$AE$2</f>
        <v>0</v>
      </c>
      <c r="AF111" s="221">
        <f t="shared" si="130"/>
        <v>0</v>
      </c>
    </row>
    <row r="112" spans="2:32" x14ac:dyDescent="0.2">
      <c r="B112" s="91" t="s">
        <v>127</v>
      </c>
      <c r="C112" s="91" t="s">
        <v>70</v>
      </c>
      <c r="D112" s="91" t="s">
        <v>170</v>
      </c>
      <c r="E112" s="91"/>
      <c r="F112" s="91"/>
      <c r="G112" s="91"/>
      <c r="H112" s="91"/>
      <c r="I112" s="91"/>
      <c r="J112" s="91"/>
      <c r="K112" s="92">
        <f t="shared" si="78"/>
        <v>15</v>
      </c>
      <c r="L112" s="91"/>
      <c r="M112" s="96" t="s">
        <v>139</v>
      </c>
      <c r="N112" s="91"/>
      <c r="O112" s="91"/>
      <c r="P112" s="95"/>
      <c r="Q112" s="98"/>
      <c r="V112" s="95"/>
      <c r="W112" s="98"/>
      <c r="AC112" s="98"/>
    </row>
    <row r="113" spans="2:32" x14ac:dyDescent="0.2">
      <c r="B113" s="91" t="s">
        <v>127</v>
      </c>
      <c r="C113" s="91" t="s">
        <v>70</v>
      </c>
      <c r="D113" s="91" t="s">
        <v>170</v>
      </c>
      <c r="E113" s="91" t="s">
        <v>133</v>
      </c>
      <c r="F113" s="91"/>
      <c r="G113" s="91"/>
      <c r="H113" s="91" t="s">
        <v>135</v>
      </c>
      <c r="I113" s="91"/>
      <c r="J113" s="91" t="s">
        <v>140</v>
      </c>
      <c r="K113" s="92">
        <f t="shared" si="78"/>
        <v>16</v>
      </c>
      <c r="L113" s="91"/>
      <c r="M113" s="97" t="s">
        <v>53</v>
      </c>
      <c r="N113" s="91" t="s">
        <v>80</v>
      </c>
      <c r="O113" s="91"/>
      <c r="P113" s="95">
        <v>0</v>
      </c>
      <c r="Q113" s="98">
        <v>30665.536355649048</v>
      </c>
      <c r="R113" s="99">
        <f t="shared" ref="R113:R131" si="133">P113*Q113</f>
        <v>0</v>
      </c>
      <c r="S113" s="99">
        <f>R113*$S$2</f>
        <v>0</v>
      </c>
      <c r="T113" s="221">
        <f t="shared" ref="T113:T119" si="134">S113+R113</f>
        <v>0</v>
      </c>
      <c r="V113" s="95">
        <v>0</v>
      </c>
      <c r="W113" s="98">
        <v>36798.643626778859</v>
      </c>
      <c r="X113" s="99">
        <f t="shared" ref="X113:X131" si="135">V113*W113</f>
        <v>0</v>
      </c>
      <c r="Y113" s="99">
        <f>X113*$Y$2</f>
        <v>0</v>
      </c>
      <c r="Z113" s="221">
        <f t="shared" ref="Z113:Z119" si="136">Y113+X113</f>
        <v>0</v>
      </c>
      <c r="AB113" s="222">
        <f t="shared" ref="AB113" si="137">V113</f>
        <v>0</v>
      </c>
      <c r="AC113" s="98">
        <v>44158.372352134633</v>
      </c>
      <c r="AD113" s="99">
        <f t="shared" ref="AD113:AD131" si="138">AB113*AC113</f>
        <v>0</v>
      </c>
      <c r="AE113" s="99">
        <f>AD113*$AE$2</f>
        <v>0</v>
      </c>
      <c r="AF113" s="221">
        <f t="shared" ref="AF113:AF119" si="139">AE113+AD113</f>
        <v>0</v>
      </c>
    </row>
    <row r="114" spans="2:32" x14ac:dyDescent="0.2">
      <c r="B114" s="91" t="s">
        <v>127</v>
      </c>
      <c r="C114" s="91" t="s">
        <v>70</v>
      </c>
      <c r="D114" s="91" t="s">
        <v>170</v>
      </c>
      <c r="E114" s="91" t="s">
        <v>133</v>
      </c>
      <c r="F114" s="91"/>
      <c r="G114" s="91"/>
      <c r="H114" s="91" t="s">
        <v>136</v>
      </c>
      <c r="I114" s="91"/>
      <c r="J114" s="91" t="s">
        <v>140</v>
      </c>
      <c r="K114" s="92">
        <f t="shared" si="78"/>
        <v>17</v>
      </c>
      <c r="L114" s="91"/>
      <c r="M114" s="97" t="s">
        <v>52</v>
      </c>
      <c r="N114" s="91" t="s">
        <v>80</v>
      </c>
      <c r="O114" s="91"/>
      <c r="P114" s="95">
        <v>0</v>
      </c>
      <c r="Q114" s="98">
        <v>30722.492670743319</v>
      </c>
      <c r="R114" s="99">
        <f t="shared" si="133"/>
        <v>0</v>
      </c>
      <c r="S114" s="99">
        <f t="shared" ref="S114:S119" si="140">R114*$S$2</f>
        <v>0</v>
      </c>
      <c r="T114" s="221">
        <f t="shared" si="134"/>
        <v>0</v>
      </c>
      <c r="V114" s="95">
        <v>0</v>
      </c>
      <c r="W114" s="98">
        <v>36866.99120489198</v>
      </c>
      <c r="X114" s="99">
        <f t="shared" si="135"/>
        <v>0</v>
      </c>
      <c r="Y114" s="99">
        <f>X114*$Y$2</f>
        <v>0</v>
      </c>
      <c r="Z114" s="221">
        <f t="shared" si="136"/>
        <v>0</v>
      </c>
      <c r="AB114" s="222">
        <f>V114</f>
        <v>0</v>
      </c>
      <c r="AC114" s="98">
        <v>44240.389445870373</v>
      </c>
      <c r="AD114" s="99">
        <f t="shared" si="138"/>
        <v>0</v>
      </c>
      <c r="AE114" s="99">
        <f>AD114*$AE$2</f>
        <v>0</v>
      </c>
      <c r="AF114" s="221">
        <f t="shared" si="139"/>
        <v>0</v>
      </c>
    </row>
    <row r="115" spans="2:32" x14ac:dyDescent="0.2">
      <c r="B115" s="91" t="s">
        <v>127</v>
      </c>
      <c r="C115" s="91" t="s">
        <v>70</v>
      </c>
      <c r="D115" s="91" t="s">
        <v>170</v>
      </c>
      <c r="E115" s="91"/>
      <c r="F115" s="91"/>
      <c r="G115" s="91"/>
      <c r="H115" s="91"/>
      <c r="I115" s="91"/>
      <c r="J115" s="91"/>
      <c r="K115" s="92">
        <f t="shared" si="78"/>
        <v>18</v>
      </c>
      <c r="L115" s="91"/>
      <c r="M115" s="91" t="s">
        <v>141</v>
      </c>
      <c r="N115" s="91" t="s">
        <v>80</v>
      </c>
      <c r="O115" s="91"/>
      <c r="P115" s="95">
        <v>0</v>
      </c>
      <c r="Q115" s="98">
        <v>3000</v>
      </c>
      <c r="R115" s="99">
        <f t="shared" si="133"/>
        <v>0</v>
      </c>
      <c r="S115" s="99">
        <f t="shared" si="140"/>
        <v>0</v>
      </c>
      <c r="T115" s="221">
        <f t="shared" si="134"/>
        <v>0</v>
      </c>
      <c r="V115" s="95">
        <v>0</v>
      </c>
      <c r="W115" s="98">
        <v>3000</v>
      </c>
      <c r="X115" s="99">
        <f t="shared" si="135"/>
        <v>0</v>
      </c>
      <c r="Y115" s="99">
        <f t="shared" ref="Y115:Y119" si="141">X115*$Y$2</f>
        <v>0</v>
      </c>
      <c r="Z115" s="221">
        <f t="shared" si="136"/>
        <v>0</v>
      </c>
      <c r="AB115" s="222">
        <f t="shared" ref="AB115" si="142">V115</f>
        <v>0</v>
      </c>
      <c r="AC115" s="98">
        <v>3000</v>
      </c>
      <c r="AD115" s="99">
        <f t="shared" si="138"/>
        <v>0</v>
      </c>
      <c r="AE115" s="99">
        <f t="shared" ref="AE115:AE119" si="143">AD115*$AE$2</f>
        <v>0</v>
      </c>
      <c r="AF115" s="221">
        <f t="shared" si="139"/>
        <v>0</v>
      </c>
    </row>
    <row r="116" spans="2:32" x14ac:dyDescent="0.2">
      <c r="B116" s="91" t="s">
        <v>127</v>
      </c>
      <c r="C116" s="91" t="s">
        <v>70</v>
      </c>
      <c r="D116" s="91" t="s">
        <v>170</v>
      </c>
      <c r="E116" s="91" t="s">
        <v>142</v>
      </c>
      <c r="F116" s="91"/>
      <c r="G116" s="91"/>
      <c r="H116" s="91" t="s">
        <v>135</v>
      </c>
      <c r="I116" s="91"/>
      <c r="J116" s="91" t="s">
        <v>143</v>
      </c>
      <c r="K116" s="92">
        <f t="shared" si="78"/>
        <v>19</v>
      </c>
      <c r="L116" s="91"/>
      <c r="M116" s="91" t="s">
        <v>144</v>
      </c>
      <c r="N116" s="91" t="s">
        <v>145</v>
      </c>
      <c r="O116" s="91"/>
      <c r="P116" s="95">
        <v>0</v>
      </c>
      <c r="Q116" s="98">
        <v>1.23</v>
      </c>
      <c r="R116" s="99">
        <f t="shared" si="133"/>
        <v>0</v>
      </c>
      <c r="S116" s="99">
        <f t="shared" si="140"/>
        <v>0</v>
      </c>
      <c r="T116" s="221">
        <f t="shared" si="134"/>
        <v>0</v>
      </c>
      <c r="V116" s="95">
        <v>0</v>
      </c>
      <c r="W116" s="98">
        <v>1.23</v>
      </c>
      <c r="X116" s="99">
        <f t="shared" si="135"/>
        <v>0</v>
      </c>
      <c r="Y116" s="99">
        <f t="shared" si="141"/>
        <v>0</v>
      </c>
      <c r="Z116" s="221">
        <f t="shared" si="136"/>
        <v>0</v>
      </c>
      <c r="AB116" s="222">
        <f>V116</f>
        <v>0</v>
      </c>
      <c r="AC116" s="98">
        <v>1.23</v>
      </c>
      <c r="AD116" s="99">
        <f t="shared" si="138"/>
        <v>0</v>
      </c>
      <c r="AE116" s="99">
        <f t="shared" si="143"/>
        <v>0</v>
      </c>
      <c r="AF116" s="221">
        <f t="shared" si="139"/>
        <v>0</v>
      </c>
    </row>
    <row r="117" spans="2:32" x14ac:dyDescent="0.2">
      <c r="B117" s="91" t="s">
        <v>127</v>
      </c>
      <c r="C117" s="91" t="s">
        <v>70</v>
      </c>
      <c r="D117" s="91" t="s">
        <v>170</v>
      </c>
      <c r="E117" s="91" t="s">
        <v>142</v>
      </c>
      <c r="F117" s="91"/>
      <c r="G117" s="91"/>
      <c r="H117" s="91" t="s">
        <v>135</v>
      </c>
      <c r="I117" s="91"/>
      <c r="J117" s="91" t="s">
        <v>146</v>
      </c>
      <c r="K117" s="92">
        <f t="shared" si="78"/>
        <v>20</v>
      </c>
      <c r="L117" s="91"/>
      <c r="M117" s="91" t="s">
        <v>147</v>
      </c>
      <c r="N117" s="91" t="s">
        <v>145</v>
      </c>
      <c r="O117" s="91"/>
      <c r="P117" s="95">
        <v>0</v>
      </c>
      <c r="Q117" s="98">
        <v>3.17</v>
      </c>
      <c r="R117" s="99">
        <f t="shared" si="133"/>
        <v>0</v>
      </c>
      <c r="S117" s="99">
        <f t="shared" si="140"/>
        <v>0</v>
      </c>
      <c r="T117" s="221">
        <f t="shared" si="134"/>
        <v>0</v>
      </c>
      <c r="V117" s="95">
        <v>0</v>
      </c>
      <c r="W117" s="98">
        <v>3.17</v>
      </c>
      <c r="X117" s="99">
        <f t="shared" si="135"/>
        <v>0</v>
      </c>
      <c r="Y117" s="99">
        <f t="shared" si="141"/>
        <v>0</v>
      </c>
      <c r="Z117" s="221">
        <f t="shared" si="136"/>
        <v>0</v>
      </c>
      <c r="AB117" s="222">
        <f t="shared" ref="AB117:AB119" si="144">V117</f>
        <v>0</v>
      </c>
      <c r="AC117" s="98">
        <v>3.17</v>
      </c>
      <c r="AD117" s="99">
        <f t="shared" si="138"/>
        <v>0</v>
      </c>
      <c r="AE117" s="99">
        <f t="shared" si="143"/>
        <v>0</v>
      </c>
      <c r="AF117" s="221">
        <f t="shared" si="139"/>
        <v>0</v>
      </c>
    </row>
    <row r="118" spans="2:32" x14ac:dyDescent="0.2">
      <c r="B118" s="91" t="s">
        <v>127</v>
      </c>
      <c r="C118" s="91" t="s">
        <v>70</v>
      </c>
      <c r="D118" s="91" t="s">
        <v>170</v>
      </c>
      <c r="E118" s="91" t="s">
        <v>142</v>
      </c>
      <c r="F118" s="91"/>
      <c r="G118" s="91"/>
      <c r="H118" s="91" t="s">
        <v>136</v>
      </c>
      <c r="I118" s="91"/>
      <c r="J118" s="91" t="s">
        <v>143</v>
      </c>
      <c r="K118" s="92">
        <f t="shared" si="78"/>
        <v>21</v>
      </c>
      <c r="L118" s="91"/>
      <c r="M118" s="91" t="s">
        <v>148</v>
      </c>
      <c r="N118" s="91" t="s">
        <v>145</v>
      </c>
      <c r="O118" s="91"/>
      <c r="P118" s="95">
        <v>0</v>
      </c>
      <c r="Q118" s="98">
        <v>1.22</v>
      </c>
      <c r="R118" s="99">
        <f t="shared" si="133"/>
        <v>0</v>
      </c>
      <c r="S118" s="99">
        <f t="shared" si="140"/>
        <v>0</v>
      </c>
      <c r="T118" s="221">
        <f t="shared" si="134"/>
        <v>0</v>
      </c>
      <c r="V118" s="95">
        <v>0</v>
      </c>
      <c r="W118" s="98">
        <v>1.22</v>
      </c>
      <c r="X118" s="99">
        <f t="shared" si="135"/>
        <v>0</v>
      </c>
      <c r="Y118" s="99">
        <f t="shared" si="141"/>
        <v>0</v>
      </c>
      <c r="Z118" s="221">
        <f t="shared" si="136"/>
        <v>0</v>
      </c>
      <c r="AB118" s="222">
        <f t="shared" si="144"/>
        <v>0</v>
      </c>
      <c r="AC118" s="98">
        <v>1.22</v>
      </c>
      <c r="AD118" s="99">
        <f t="shared" si="138"/>
        <v>0</v>
      </c>
      <c r="AE118" s="99">
        <f t="shared" si="143"/>
        <v>0</v>
      </c>
      <c r="AF118" s="221">
        <f t="shared" si="139"/>
        <v>0</v>
      </c>
    </row>
    <row r="119" spans="2:32" x14ac:dyDescent="0.2">
      <c r="B119" s="91" t="s">
        <v>127</v>
      </c>
      <c r="C119" s="91" t="s">
        <v>70</v>
      </c>
      <c r="D119" s="91" t="s">
        <v>170</v>
      </c>
      <c r="E119" s="91" t="s">
        <v>142</v>
      </c>
      <c r="F119" s="91"/>
      <c r="G119" s="91"/>
      <c r="H119" s="91" t="s">
        <v>136</v>
      </c>
      <c r="I119" s="91"/>
      <c r="J119" s="91" t="s">
        <v>146</v>
      </c>
      <c r="K119" s="92">
        <f t="shared" si="78"/>
        <v>22</v>
      </c>
      <c r="L119" s="91"/>
      <c r="M119" s="91" t="s">
        <v>149</v>
      </c>
      <c r="N119" s="91" t="s">
        <v>145</v>
      </c>
      <c r="O119" s="91"/>
      <c r="P119" s="95">
        <v>0</v>
      </c>
      <c r="Q119" s="98">
        <v>3.13</v>
      </c>
      <c r="R119" s="99">
        <f t="shared" si="133"/>
        <v>0</v>
      </c>
      <c r="S119" s="99">
        <f t="shared" si="140"/>
        <v>0</v>
      </c>
      <c r="T119" s="221">
        <f t="shared" si="134"/>
        <v>0</v>
      </c>
      <c r="V119" s="95">
        <v>0</v>
      </c>
      <c r="W119" s="98">
        <v>3.13</v>
      </c>
      <c r="X119" s="99">
        <f t="shared" si="135"/>
        <v>0</v>
      </c>
      <c r="Y119" s="99">
        <f t="shared" si="141"/>
        <v>0</v>
      </c>
      <c r="Z119" s="221">
        <f t="shared" si="136"/>
        <v>0</v>
      </c>
      <c r="AB119" s="222">
        <f t="shared" si="144"/>
        <v>0</v>
      </c>
      <c r="AC119" s="98">
        <v>3.13</v>
      </c>
      <c r="AD119" s="99">
        <f t="shared" si="138"/>
        <v>0</v>
      </c>
      <c r="AE119" s="99">
        <f t="shared" si="143"/>
        <v>0</v>
      </c>
      <c r="AF119" s="221">
        <f t="shared" si="139"/>
        <v>0</v>
      </c>
    </row>
    <row r="120" spans="2:32" x14ac:dyDescent="0.2">
      <c r="B120" s="91" t="s">
        <v>127</v>
      </c>
      <c r="C120" s="91" t="s">
        <v>70</v>
      </c>
      <c r="D120" s="91" t="s">
        <v>170</v>
      </c>
      <c r="E120" s="91"/>
      <c r="F120" s="91"/>
      <c r="G120" s="91"/>
      <c r="H120" s="91"/>
      <c r="I120" s="91"/>
      <c r="J120" s="91"/>
      <c r="K120" s="92">
        <f t="shared" si="78"/>
        <v>23</v>
      </c>
      <c r="L120" s="91"/>
      <c r="M120" s="91" t="s">
        <v>150</v>
      </c>
      <c r="N120" s="91"/>
      <c r="O120" s="91"/>
      <c r="P120" s="95"/>
      <c r="Q120" s="98"/>
      <c r="V120" s="95"/>
      <c r="W120" s="98"/>
      <c r="AC120" s="98"/>
    </row>
    <row r="121" spans="2:32" x14ac:dyDescent="0.2">
      <c r="B121" s="91" t="s">
        <v>127</v>
      </c>
      <c r="C121" s="91" t="s">
        <v>70</v>
      </c>
      <c r="D121" s="91" t="s">
        <v>170</v>
      </c>
      <c r="E121" s="91" t="s">
        <v>151</v>
      </c>
      <c r="F121" s="91"/>
      <c r="G121" s="91"/>
      <c r="H121" s="91" t="s">
        <v>21</v>
      </c>
      <c r="I121" s="91"/>
      <c r="J121" s="91"/>
      <c r="K121" s="92">
        <f t="shared" si="78"/>
        <v>24</v>
      </c>
      <c r="L121" s="91"/>
      <c r="M121" s="96" t="s">
        <v>21</v>
      </c>
      <c r="N121" s="91" t="s">
        <v>81</v>
      </c>
      <c r="O121" s="91"/>
      <c r="P121" s="95">
        <v>35303.664419497545</v>
      </c>
      <c r="Q121" s="98">
        <v>24.375462864631004</v>
      </c>
      <c r="R121" s="99">
        <f t="shared" si="133"/>
        <v>860543.16104285733</v>
      </c>
      <c r="S121" s="99">
        <f>R121*$S$2</f>
        <v>25191.90481520172</v>
      </c>
      <c r="T121" s="221">
        <f t="shared" ref="T121:T125" si="145">S121+R121</f>
        <v>885735.0658580591</v>
      </c>
      <c r="V121" s="95">
        <v>33959.317745847635</v>
      </c>
      <c r="W121" s="98">
        <v>24.107499520425428</v>
      </c>
      <c r="X121" s="99">
        <f t="shared" si="135"/>
        <v>818674.23627199663</v>
      </c>
      <c r="Y121" s="99">
        <f>X121*$Y$2</f>
        <v>23966.21618586656</v>
      </c>
      <c r="Z121" s="221">
        <f t="shared" ref="Z121:Z125" si="146">Y121+X121</f>
        <v>842640.45245786314</v>
      </c>
      <c r="AB121" s="222">
        <f t="shared" ref="AB121" si="147">V121</f>
        <v>33959.317745847635</v>
      </c>
      <c r="AC121" s="98">
        <v>23.833345601627776</v>
      </c>
      <c r="AD121" s="99">
        <f t="shared" si="138"/>
        <v>809364.15623227786</v>
      </c>
      <c r="AE121" s="99">
        <f>AD121*$AE$2</f>
        <v>23693.668961276133</v>
      </c>
      <c r="AF121" s="221">
        <f t="shared" ref="AF121:AF125" si="148">AE121+AD121</f>
        <v>833057.82519355405</v>
      </c>
    </row>
    <row r="122" spans="2:32" x14ac:dyDescent="0.2">
      <c r="B122" s="91" t="s">
        <v>127</v>
      </c>
      <c r="C122" s="91" t="s">
        <v>70</v>
      </c>
      <c r="D122" s="91" t="s">
        <v>170</v>
      </c>
      <c r="E122" s="91" t="s">
        <v>151</v>
      </c>
      <c r="F122" s="91"/>
      <c r="G122" s="91"/>
      <c r="H122" s="91" t="s">
        <v>22</v>
      </c>
      <c r="I122" s="91"/>
      <c r="J122" s="91"/>
      <c r="K122" s="92">
        <f t="shared" si="78"/>
        <v>25</v>
      </c>
      <c r="L122" s="91"/>
      <c r="M122" s="96" t="s">
        <v>22</v>
      </c>
      <c r="N122" s="91" t="s">
        <v>81</v>
      </c>
      <c r="O122" s="91"/>
      <c r="P122" s="95">
        <v>1683.6861730959661</v>
      </c>
      <c r="Q122" s="98">
        <v>23.839190507005007</v>
      </c>
      <c r="R122" s="99">
        <f t="shared" si="133"/>
        <v>40137.715434444945</v>
      </c>
      <c r="S122" s="99">
        <f t="shared" ref="S122:S125" si="149">R122*$S$2</f>
        <v>1175.0084742975864</v>
      </c>
      <c r="T122" s="221">
        <f t="shared" si="145"/>
        <v>41312.723908742533</v>
      </c>
      <c r="V122" s="95">
        <v>1656.004074657485</v>
      </c>
      <c r="W122" s="98">
        <v>23.573966250401941</v>
      </c>
      <c r="X122" s="99">
        <f t="shared" si="135"/>
        <v>39038.58416650365</v>
      </c>
      <c r="Y122" s="99">
        <f>X122*$Y$2</f>
        <v>1142.8320402325785</v>
      </c>
      <c r="Z122" s="221">
        <f t="shared" si="146"/>
        <v>40181.416206736227</v>
      </c>
      <c r="AB122" s="222">
        <f>V122</f>
        <v>1656.004074657485</v>
      </c>
      <c r="AC122" s="98">
        <v>23.301224465716246</v>
      </c>
      <c r="AD122" s="99">
        <f t="shared" si="138"/>
        <v>38586.922659734781</v>
      </c>
      <c r="AE122" s="99">
        <f>AD122*$AE$2</f>
        <v>1129.6099100683887</v>
      </c>
      <c r="AF122" s="221">
        <f t="shared" si="148"/>
        <v>39716.532569803167</v>
      </c>
    </row>
    <row r="123" spans="2:32" x14ac:dyDescent="0.2">
      <c r="B123" s="91" t="s">
        <v>127</v>
      </c>
      <c r="C123" s="91" t="s">
        <v>70</v>
      </c>
      <c r="D123" s="91" t="s">
        <v>170</v>
      </c>
      <c r="E123" s="91" t="s">
        <v>151</v>
      </c>
      <c r="F123" s="91"/>
      <c r="G123" s="91"/>
      <c r="H123" s="91" t="s">
        <v>135</v>
      </c>
      <c r="I123" s="91"/>
      <c r="J123" s="91"/>
      <c r="K123" s="92">
        <f t="shared" si="78"/>
        <v>26</v>
      </c>
      <c r="L123" s="91"/>
      <c r="M123" s="96" t="s">
        <v>53</v>
      </c>
      <c r="N123" s="91" t="s">
        <v>81</v>
      </c>
      <c r="O123" s="91"/>
      <c r="P123" s="95">
        <v>0</v>
      </c>
      <c r="Q123" s="98">
        <v>14.651512922991254</v>
      </c>
      <c r="R123" s="99">
        <f t="shared" si="133"/>
        <v>0</v>
      </c>
      <c r="S123" s="99">
        <f t="shared" si="149"/>
        <v>0</v>
      </c>
      <c r="T123" s="221">
        <f t="shared" si="145"/>
        <v>0</v>
      </c>
      <c r="V123" s="95">
        <v>0</v>
      </c>
      <c r="W123" s="98">
        <v>14.646072203465</v>
      </c>
      <c r="X123" s="99">
        <f t="shared" si="135"/>
        <v>0</v>
      </c>
      <c r="Y123" s="99">
        <f>X123*$Y$2</f>
        <v>0</v>
      </c>
      <c r="Z123" s="221">
        <f t="shared" si="146"/>
        <v>0</v>
      </c>
      <c r="AB123" s="222">
        <f t="shared" ref="AB123:AB125" si="150">V123</f>
        <v>0</v>
      </c>
      <c r="AC123" s="98">
        <v>14.646072203465</v>
      </c>
      <c r="AD123" s="99">
        <f t="shared" si="138"/>
        <v>0</v>
      </c>
      <c r="AE123" s="99">
        <f>AD123*$AE$2</f>
        <v>0</v>
      </c>
      <c r="AF123" s="221">
        <f t="shared" si="148"/>
        <v>0</v>
      </c>
    </row>
    <row r="124" spans="2:32" x14ac:dyDescent="0.2">
      <c r="B124" s="91" t="s">
        <v>127</v>
      </c>
      <c r="C124" s="91" t="s">
        <v>70</v>
      </c>
      <c r="D124" s="91" t="s">
        <v>170</v>
      </c>
      <c r="E124" s="91" t="s">
        <v>151</v>
      </c>
      <c r="F124" s="91"/>
      <c r="G124" s="91"/>
      <c r="H124" s="91" t="s">
        <v>136</v>
      </c>
      <c r="I124" s="91"/>
      <c r="J124" s="91"/>
      <c r="K124" s="92">
        <f t="shared" si="78"/>
        <v>27</v>
      </c>
      <c r="L124" s="91"/>
      <c r="M124" s="96" t="s">
        <v>52</v>
      </c>
      <c r="N124" s="91" t="s">
        <v>81</v>
      </c>
      <c r="O124" s="91"/>
      <c r="P124" s="95">
        <v>0</v>
      </c>
      <c r="Q124" s="98">
        <v>14.171512922991255</v>
      </c>
      <c r="R124" s="99">
        <f t="shared" si="133"/>
        <v>0</v>
      </c>
      <c r="S124" s="99">
        <f t="shared" si="149"/>
        <v>0</v>
      </c>
      <c r="T124" s="221">
        <f t="shared" si="145"/>
        <v>0</v>
      </c>
      <c r="V124" s="95">
        <v>0</v>
      </c>
      <c r="W124" s="98">
        <v>14.166072203465001</v>
      </c>
      <c r="X124" s="99">
        <f t="shared" si="135"/>
        <v>0</v>
      </c>
      <c r="Y124" s="99">
        <f>X124*$Y$2</f>
        <v>0</v>
      </c>
      <c r="Z124" s="221">
        <f t="shared" si="146"/>
        <v>0</v>
      </c>
      <c r="AB124" s="222">
        <f t="shared" si="150"/>
        <v>0</v>
      </c>
      <c r="AC124" s="98">
        <v>14.166072203465001</v>
      </c>
      <c r="AD124" s="99">
        <f t="shared" si="138"/>
        <v>0</v>
      </c>
      <c r="AE124" s="99">
        <f>AD124*$AE$2</f>
        <v>0</v>
      </c>
      <c r="AF124" s="221">
        <f t="shared" si="148"/>
        <v>0</v>
      </c>
    </row>
    <row r="125" spans="2:32" x14ac:dyDescent="0.2">
      <c r="B125" s="91" t="s">
        <v>127</v>
      </c>
      <c r="C125" s="91" t="s">
        <v>70</v>
      </c>
      <c r="D125" s="91" t="s">
        <v>170</v>
      </c>
      <c r="E125" s="91" t="s">
        <v>151</v>
      </c>
      <c r="F125" s="91"/>
      <c r="G125" s="91"/>
      <c r="H125" s="91" t="s">
        <v>24</v>
      </c>
      <c r="I125" s="91"/>
      <c r="J125" s="91"/>
      <c r="K125" s="92">
        <f t="shared" si="78"/>
        <v>28</v>
      </c>
      <c r="L125" s="91"/>
      <c r="M125" s="96" t="s">
        <v>24</v>
      </c>
      <c r="N125" s="91" t="s">
        <v>81</v>
      </c>
      <c r="O125" s="91"/>
      <c r="P125" s="95">
        <v>0</v>
      </c>
      <c r="Q125" s="98">
        <v>14.101512922991255</v>
      </c>
      <c r="R125" s="99">
        <f t="shared" si="133"/>
        <v>0</v>
      </c>
      <c r="S125" s="99">
        <f t="shared" si="149"/>
        <v>0</v>
      </c>
      <c r="T125" s="221">
        <f t="shared" si="145"/>
        <v>0</v>
      </c>
      <c r="V125" s="95">
        <v>0</v>
      </c>
      <c r="W125" s="98">
        <v>14.096072203465001</v>
      </c>
      <c r="X125" s="99">
        <f t="shared" si="135"/>
        <v>0</v>
      </c>
      <c r="Y125" s="99">
        <f>X125*$Y$2</f>
        <v>0</v>
      </c>
      <c r="Z125" s="221">
        <f t="shared" si="146"/>
        <v>0</v>
      </c>
      <c r="AB125" s="222">
        <f t="shared" si="150"/>
        <v>0</v>
      </c>
      <c r="AC125" s="98">
        <v>14.096072203465001</v>
      </c>
      <c r="AD125" s="99">
        <f t="shared" si="138"/>
        <v>0</v>
      </c>
      <c r="AE125" s="99">
        <f>AD125*$AE$2</f>
        <v>0</v>
      </c>
      <c r="AF125" s="221">
        <f t="shared" si="148"/>
        <v>0</v>
      </c>
    </row>
    <row r="126" spans="2:32" x14ac:dyDescent="0.2">
      <c r="B126" s="91" t="s">
        <v>127</v>
      </c>
      <c r="C126" s="91" t="s">
        <v>70</v>
      </c>
      <c r="D126" s="91" t="s">
        <v>170</v>
      </c>
      <c r="E126" s="91"/>
      <c r="F126" s="91"/>
      <c r="G126" s="91"/>
      <c r="H126" s="91"/>
      <c r="I126" s="91"/>
      <c r="J126" s="91"/>
      <c r="K126" s="92">
        <f t="shared" si="78"/>
        <v>29</v>
      </c>
      <c r="L126" s="91"/>
      <c r="M126" s="91" t="s">
        <v>152</v>
      </c>
      <c r="N126" s="91"/>
      <c r="O126" s="91"/>
      <c r="P126" s="95"/>
      <c r="Q126" s="98"/>
      <c r="V126" s="95"/>
      <c r="W126" s="98"/>
      <c r="AC126" s="98"/>
    </row>
    <row r="127" spans="2:32" x14ac:dyDescent="0.2">
      <c r="B127" s="91" t="s">
        <v>127</v>
      </c>
      <c r="C127" s="91" t="s">
        <v>70</v>
      </c>
      <c r="D127" s="91" t="s">
        <v>170</v>
      </c>
      <c r="E127" s="91" t="s">
        <v>153</v>
      </c>
      <c r="F127" s="91"/>
      <c r="G127" s="91"/>
      <c r="H127" s="91" t="s">
        <v>21</v>
      </c>
      <c r="I127" s="91"/>
      <c r="J127" s="91"/>
      <c r="K127" s="92">
        <f t="shared" si="78"/>
        <v>30</v>
      </c>
      <c r="L127" s="91"/>
      <c r="M127" s="96" t="s">
        <v>21</v>
      </c>
      <c r="N127" s="91" t="s">
        <v>81</v>
      </c>
      <c r="O127" s="91"/>
      <c r="P127" s="95">
        <v>35162.683576482726</v>
      </c>
      <c r="Q127" s="98">
        <v>0</v>
      </c>
      <c r="R127" s="99">
        <f t="shared" si="133"/>
        <v>0</v>
      </c>
      <c r="S127" s="99">
        <f t="shared" ref="S127:S131" si="151">R127*$S$2</f>
        <v>0</v>
      </c>
      <c r="T127" s="221">
        <f t="shared" ref="T127:T131" si="152">S127+R127</f>
        <v>0</v>
      </c>
      <c r="V127" s="95">
        <v>33823.517225621523</v>
      </c>
      <c r="W127" s="98">
        <v>0</v>
      </c>
      <c r="X127" s="99">
        <f t="shared" si="135"/>
        <v>0</v>
      </c>
      <c r="Y127" s="99">
        <f t="shared" ref="Y127:Y131" si="153">X127*$Y$2</f>
        <v>0</v>
      </c>
      <c r="Z127" s="221">
        <f t="shared" ref="Z127:Z131" si="154">Y127+X127</f>
        <v>0</v>
      </c>
      <c r="AB127" s="222">
        <f t="shared" ref="AB127" si="155">V127</f>
        <v>33823.517225621523</v>
      </c>
      <c r="AC127" s="98">
        <v>0</v>
      </c>
      <c r="AD127" s="99">
        <f t="shared" si="138"/>
        <v>0</v>
      </c>
      <c r="AE127" s="99">
        <f t="shared" ref="AE127:AE131" si="156">AD127*$AE$2</f>
        <v>0</v>
      </c>
      <c r="AF127" s="221">
        <f t="shared" ref="AF127:AF131" si="157">AE127+AD127</f>
        <v>0</v>
      </c>
    </row>
    <row r="128" spans="2:32" x14ac:dyDescent="0.2">
      <c r="B128" s="91" t="s">
        <v>127</v>
      </c>
      <c r="C128" s="91" t="s">
        <v>70</v>
      </c>
      <c r="D128" s="91" t="s">
        <v>170</v>
      </c>
      <c r="E128" s="91" t="s">
        <v>153</v>
      </c>
      <c r="F128" s="91"/>
      <c r="G128" s="91"/>
      <c r="H128" s="91" t="s">
        <v>22</v>
      </c>
      <c r="I128" s="91"/>
      <c r="J128" s="91"/>
      <c r="K128" s="92">
        <f t="shared" si="78"/>
        <v>31</v>
      </c>
      <c r="L128" s="91"/>
      <c r="M128" s="96" t="s">
        <v>22</v>
      </c>
      <c r="N128" s="91" t="s">
        <v>81</v>
      </c>
      <c r="O128" s="91"/>
      <c r="P128" s="95">
        <v>1677.4502983807963</v>
      </c>
      <c r="Q128" s="98">
        <v>0</v>
      </c>
      <c r="R128" s="99">
        <f t="shared" si="133"/>
        <v>0</v>
      </c>
      <c r="S128" s="99">
        <f t="shared" si="151"/>
        <v>0</v>
      </c>
      <c r="T128" s="221">
        <f t="shared" si="152"/>
        <v>0</v>
      </c>
      <c r="V128" s="95">
        <v>1649.8707262328278</v>
      </c>
      <c r="W128" s="98">
        <v>0</v>
      </c>
      <c r="X128" s="99">
        <f t="shared" si="135"/>
        <v>0</v>
      </c>
      <c r="Y128" s="99">
        <f t="shared" si="153"/>
        <v>0</v>
      </c>
      <c r="Z128" s="221">
        <f t="shared" si="154"/>
        <v>0</v>
      </c>
      <c r="AB128" s="222">
        <f>V128</f>
        <v>1649.8707262328278</v>
      </c>
      <c r="AC128" s="98">
        <v>0</v>
      </c>
      <c r="AD128" s="99">
        <f t="shared" si="138"/>
        <v>0</v>
      </c>
      <c r="AE128" s="99">
        <f t="shared" si="156"/>
        <v>0</v>
      </c>
      <c r="AF128" s="221">
        <f t="shared" si="157"/>
        <v>0</v>
      </c>
    </row>
    <row r="129" spans="2:32" x14ac:dyDescent="0.2">
      <c r="B129" s="91" t="s">
        <v>127</v>
      </c>
      <c r="C129" s="91" t="s">
        <v>70</v>
      </c>
      <c r="D129" s="91" t="s">
        <v>170</v>
      </c>
      <c r="E129" s="91" t="s">
        <v>153</v>
      </c>
      <c r="F129" s="91"/>
      <c r="G129" s="91"/>
      <c r="H129" s="91" t="s">
        <v>135</v>
      </c>
      <c r="I129" s="91"/>
      <c r="J129" s="91"/>
      <c r="K129" s="92">
        <f t="shared" si="78"/>
        <v>32</v>
      </c>
      <c r="L129" s="91"/>
      <c r="M129" s="96" t="s">
        <v>53</v>
      </c>
      <c r="N129" s="91" t="s">
        <v>81</v>
      </c>
      <c r="O129" s="91"/>
      <c r="P129" s="95">
        <v>0</v>
      </c>
      <c r="Q129" s="98">
        <v>0</v>
      </c>
      <c r="R129" s="99">
        <f t="shared" si="133"/>
        <v>0</v>
      </c>
      <c r="S129" s="99">
        <f t="shared" si="151"/>
        <v>0</v>
      </c>
      <c r="T129" s="221">
        <f t="shared" si="152"/>
        <v>0</v>
      </c>
      <c r="V129" s="95">
        <v>0</v>
      </c>
      <c r="W129" s="98">
        <v>0</v>
      </c>
      <c r="X129" s="99">
        <f t="shared" si="135"/>
        <v>0</v>
      </c>
      <c r="Y129" s="99">
        <f t="shared" si="153"/>
        <v>0</v>
      </c>
      <c r="Z129" s="221">
        <f t="shared" si="154"/>
        <v>0</v>
      </c>
      <c r="AB129" s="222">
        <f t="shared" ref="AB129:AB131" si="158">V129</f>
        <v>0</v>
      </c>
      <c r="AC129" s="98">
        <v>0</v>
      </c>
      <c r="AD129" s="99">
        <f t="shared" si="138"/>
        <v>0</v>
      </c>
      <c r="AE129" s="99">
        <f t="shared" si="156"/>
        <v>0</v>
      </c>
      <c r="AF129" s="221">
        <f t="shared" si="157"/>
        <v>0</v>
      </c>
    </row>
    <row r="130" spans="2:32" x14ac:dyDescent="0.2">
      <c r="B130" s="91" t="s">
        <v>127</v>
      </c>
      <c r="C130" s="91" t="s">
        <v>70</v>
      </c>
      <c r="D130" s="91" t="s">
        <v>170</v>
      </c>
      <c r="E130" s="91" t="s">
        <v>153</v>
      </c>
      <c r="F130" s="91"/>
      <c r="G130" s="91"/>
      <c r="H130" s="91" t="s">
        <v>136</v>
      </c>
      <c r="I130" s="91"/>
      <c r="J130" s="91"/>
      <c r="K130" s="92">
        <f t="shared" si="78"/>
        <v>33</v>
      </c>
      <c r="L130" s="91"/>
      <c r="M130" s="96" t="s">
        <v>52</v>
      </c>
      <c r="N130" s="91" t="s">
        <v>81</v>
      </c>
      <c r="O130" s="91"/>
      <c r="P130" s="95">
        <v>0</v>
      </c>
      <c r="Q130" s="98">
        <v>0</v>
      </c>
      <c r="R130" s="99">
        <f t="shared" si="133"/>
        <v>0</v>
      </c>
      <c r="S130" s="99">
        <f t="shared" si="151"/>
        <v>0</v>
      </c>
      <c r="T130" s="221">
        <f t="shared" si="152"/>
        <v>0</v>
      </c>
      <c r="V130" s="95">
        <v>0</v>
      </c>
      <c r="W130" s="98">
        <v>0</v>
      </c>
      <c r="X130" s="99">
        <f t="shared" si="135"/>
        <v>0</v>
      </c>
      <c r="Y130" s="99">
        <f t="shared" si="153"/>
        <v>0</v>
      </c>
      <c r="Z130" s="221">
        <f t="shared" si="154"/>
        <v>0</v>
      </c>
      <c r="AB130" s="222">
        <f t="shared" si="158"/>
        <v>0</v>
      </c>
      <c r="AC130" s="98">
        <v>0</v>
      </c>
      <c r="AD130" s="99">
        <f t="shared" si="138"/>
        <v>0</v>
      </c>
      <c r="AE130" s="99">
        <f t="shared" si="156"/>
        <v>0</v>
      </c>
      <c r="AF130" s="221">
        <f t="shared" si="157"/>
        <v>0</v>
      </c>
    </row>
    <row r="131" spans="2:32" x14ac:dyDescent="0.2">
      <c r="B131" s="91" t="s">
        <v>127</v>
      </c>
      <c r="C131" s="91" t="s">
        <v>70</v>
      </c>
      <c r="D131" s="91" t="s">
        <v>170</v>
      </c>
      <c r="E131" s="91" t="s">
        <v>153</v>
      </c>
      <c r="F131" s="91"/>
      <c r="G131" s="91"/>
      <c r="H131" s="91" t="s">
        <v>24</v>
      </c>
      <c r="I131" s="91"/>
      <c r="J131" s="91"/>
      <c r="K131" s="92">
        <f t="shared" si="78"/>
        <v>34</v>
      </c>
      <c r="L131" s="91"/>
      <c r="M131" s="96" t="s">
        <v>24</v>
      </c>
      <c r="N131" s="91" t="s">
        <v>81</v>
      </c>
      <c r="O131" s="91"/>
      <c r="P131" s="95">
        <v>0</v>
      </c>
      <c r="Q131" s="98">
        <v>0</v>
      </c>
      <c r="R131" s="99">
        <f t="shared" si="133"/>
        <v>0</v>
      </c>
      <c r="S131" s="99">
        <f t="shared" si="151"/>
        <v>0</v>
      </c>
      <c r="T131" s="221">
        <f t="shared" si="152"/>
        <v>0</v>
      </c>
      <c r="V131" s="95">
        <v>0</v>
      </c>
      <c r="W131" s="98">
        <v>0</v>
      </c>
      <c r="X131" s="99">
        <f t="shared" si="135"/>
        <v>0</v>
      </c>
      <c r="Y131" s="99">
        <f t="shared" si="153"/>
        <v>0</v>
      </c>
      <c r="Z131" s="221">
        <f t="shared" si="154"/>
        <v>0</v>
      </c>
      <c r="AB131" s="222">
        <f t="shared" si="158"/>
        <v>0</v>
      </c>
      <c r="AC131" s="98">
        <v>0</v>
      </c>
      <c r="AD131" s="99">
        <f t="shared" si="138"/>
        <v>0</v>
      </c>
      <c r="AE131" s="99">
        <f t="shared" si="156"/>
        <v>0</v>
      </c>
      <c r="AF131" s="221">
        <f t="shared" si="157"/>
        <v>0</v>
      </c>
    </row>
    <row r="132" spans="2:32" x14ac:dyDescent="0.2">
      <c r="B132" s="91" t="s">
        <v>127</v>
      </c>
      <c r="C132" s="91" t="s">
        <v>70</v>
      </c>
      <c r="D132" s="91" t="s">
        <v>170</v>
      </c>
      <c r="E132" s="91"/>
      <c r="F132" s="91"/>
      <c r="G132" s="91"/>
      <c r="H132" s="91"/>
      <c r="I132" s="91"/>
      <c r="J132" s="91"/>
      <c r="K132" s="92">
        <f t="shared" si="78"/>
        <v>35</v>
      </c>
      <c r="L132" s="91"/>
      <c r="M132" s="91" t="s">
        <v>154</v>
      </c>
      <c r="N132" s="91"/>
      <c r="O132" s="91"/>
      <c r="P132" s="95"/>
      <c r="Q132" s="98"/>
      <c r="V132" s="95"/>
      <c r="W132" s="98"/>
      <c r="AC132" s="98"/>
    </row>
    <row r="133" spans="2:32" x14ac:dyDescent="0.2">
      <c r="B133" s="91" t="s">
        <v>127</v>
      </c>
      <c r="C133" s="91" t="s">
        <v>70</v>
      </c>
      <c r="D133" s="91" t="s">
        <v>170</v>
      </c>
      <c r="E133" s="91"/>
      <c r="F133" s="91"/>
      <c r="G133" s="91"/>
      <c r="H133" s="91"/>
      <c r="I133" s="91"/>
      <c r="J133" s="91"/>
      <c r="K133" s="92">
        <f t="shared" si="78"/>
        <v>36</v>
      </c>
      <c r="L133" s="91"/>
      <c r="M133" s="96" t="s">
        <v>155</v>
      </c>
      <c r="N133" s="91"/>
      <c r="O133" s="91"/>
      <c r="P133" s="95"/>
      <c r="Q133" s="98"/>
      <c r="V133" s="95"/>
      <c r="W133" s="98"/>
      <c r="AC133" s="98"/>
    </row>
    <row r="134" spans="2:32" x14ac:dyDescent="0.2">
      <c r="B134" s="91" t="s">
        <v>127</v>
      </c>
      <c r="C134" s="91" t="s">
        <v>70</v>
      </c>
      <c r="D134" s="91" t="s">
        <v>170</v>
      </c>
      <c r="E134" s="91" t="s">
        <v>156</v>
      </c>
      <c r="F134" s="91" t="s">
        <v>155</v>
      </c>
      <c r="G134" s="91"/>
      <c r="H134" s="91" t="s">
        <v>21</v>
      </c>
      <c r="I134" s="91"/>
      <c r="J134" s="91"/>
      <c r="K134" s="92">
        <f t="shared" si="78"/>
        <v>37</v>
      </c>
      <c r="L134" s="91"/>
      <c r="M134" s="97" t="s">
        <v>21</v>
      </c>
      <c r="N134" s="91" t="s">
        <v>81</v>
      </c>
      <c r="O134" s="91"/>
      <c r="P134" s="95">
        <v>14428.896868534632</v>
      </c>
      <c r="Q134" s="98">
        <v>19.063911840481737</v>
      </c>
      <c r="R134" s="99">
        <f t="shared" ref="R134:R138" si="159">P134*Q134</f>
        <v>275071.21785714722</v>
      </c>
      <c r="S134" s="99">
        <f t="shared" ref="S134:S138" si="160">R134*$S$2</f>
        <v>8052.5512854709186</v>
      </c>
      <c r="T134" s="221">
        <f t="shared" ref="T134:T138" si="161">S134+R134</f>
        <v>283123.76914261811</v>
      </c>
      <c r="V134" s="95">
        <v>13719.243046511947</v>
      </c>
      <c r="W134" s="98">
        <v>18.686919159576824</v>
      </c>
      <c r="X134" s="99">
        <f t="shared" ref="X134:X138" si="162">V134*W134</f>
        <v>256370.38574075521</v>
      </c>
      <c r="Y134" s="99">
        <f t="shared" ref="Y134:Y138" si="163">X134*$Y$2</f>
        <v>7505.0952089270113</v>
      </c>
      <c r="Z134" s="221">
        <f t="shared" ref="Z134:Z138" si="164">Y134+X134</f>
        <v>263875.48094968224</v>
      </c>
      <c r="AB134" s="222">
        <f t="shared" ref="AB134" si="165">V134</f>
        <v>13719.243046511947</v>
      </c>
      <c r="AC134" s="98">
        <v>18.250385055467444</v>
      </c>
      <c r="AD134" s="99">
        <f t="shared" ref="AD134:AD138" si="166">AB134*AC134</f>
        <v>250381.46826838728</v>
      </c>
      <c r="AE134" s="99">
        <f t="shared" ref="AE134:AE138" si="167">AD134*$AE$2</f>
        <v>7329.7731033778182</v>
      </c>
      <c r="AF134" s="221">
        <f t="shared" ref="AF134:AF138" si="168">AE134+AD134</f>
        <v>257711.24137176509</v>
      </c>
    </row>
    <row r="135" spans="2:32" x14ac:dyDescent="0.2">
      <c r="B135" s="91" t="s">
        <v>127</v>
      </c>
      <c r="C135" s="91" t="s">
        <v>70</v>
      </c>
      <c r="D135" s="91" t="s">
        <v>170</v>
      </c>
      <c r="E135" s="91" t="s">
        <v>156</v>
      </c>
      <c r="F135" s="91" t="s">
        <v>155</v>
      </c>
      <c r="G135" s="91"/>
      <c r="H135" s="91" t="s">
        <v>22</v>
      </c>
      <c r="I135" s="91"/>
      <c r="J135" s="91"/>
      <c r="K135" s="92">
        <f t="shared" ref="K135:K186" si="169">IF(ISNUMBER(SEARCH("continued", M135)), K133+1, IF(ISNUMBER(SEARCH("schedule", M135)), 1, IF(M135="", "", K134+1)))</f>
        <v>38</v>
      </c>
      <c r="L135" s="91"/>
      <c r="M135" s="97" t="s">
        <v>22</v>
      </c>
      <c r="N135" s="91" t="s">
        <v>81</v>
      </c>
      <c r="O135" s="91"/>
      <c r="P135" s="95">
        <v>708.48061531060409</v>
      </c>
      <c r="Q135" s="98">
        <v>18.870811047027289</v>
      </c>
      <c r="R135" s="99">
        <f t="shared" si="159"/>
        <v>13369.603822008039</v>
      </c>
      <c r="S135" s="99">
        <f t="shared" si="160"/>
        <v>391.38744242975844</v>
      </c>
      <c r="T135" s="221">
        <f t="shared" si="161"/>
        <v>13760.991264437798</v>
      </c>
      <c r="V135" s="95">
        <v>684.73913969280079</v>
      </c>
      <c r="W135" s="98">
        <v>18.492566042504272</v>
      </c>
      <c r="X135" s="99">
        <f t="shared" si="162"/>
        <v>12662.583762656677</v>
      </c>
      <c r="Y135" s="99">
        <f t="shared" si="163"/>
        <v>370.68983788888551</v>
      </c>
      <c r="Z135" s="221">
        <f t="shared" si="164"/>
        <v>13033.273600545563</v>
      </c>
      <c r="AB135" s="222">
        <f>V135</f>
        <v>684.73913969280079</v>
      </c>
      <c r="AC135" s="98">
        <v>18.058280473459241</v>
      </c>
      <c r="AD135" s="99">
        <f t="shared" si="166"/>
        <v>12365.211435727784</v>
      </c>
      <c r="AE135" s="99">
        <f t="shared" si="167"/>
        <v>361.98443449506942</v>
      </c>
      <c r="AF135" s="221">
        <f t="shared" si="168"/>
        <v>12727.195870222853</v>
      </c>
    </row>
    <row r="136" spans="2:32" x14ac:dyDescent="0.2">
      <c r="B136" s="91" t="s">
        <v>127</v>
      </c>
      <c r="C136" s="91" t="s">
        <v>70</v>
      </c>
      <c r="D136" s="91" t="s">
        <v>170</v>
      </c>
      <c r="E136" s="91" t="s">
        <v>156</v>
      </c>
      <c r="F136" s="91" t="s">
        <v>155</v>
      </c>
      <c r="G136" s="91"/>
      <c r="H136" s="91" t="s">
        <v>135</v>
      </c>
      <c r="I136" s="91"/>
      <c r="J136" s="91"/>
      <c r="K136" s="92">
        <f t="shared" si="169"/>
        <v>39</v>
      </c>
      <c r="L136" s="91"/>
      <c r="M136" s="97" t="s">
        <v>53</v>
      </c>
      <c r="N136" s="91" t="s">
        <v>81</v>
      </c>
      <c r="O136" s="91"/>
      <c r="P136" s="95">
        <v>0</v>
      </c>
      <c r="Q136" s="98">
        <v>2.95</v>
      </c>
      <c r="R136" s="99">
        <f t="shared" si="159"/>
        <v>0</v>
      </c>
      <c r="S136" s="99">
        <f t="shared" si="160"/>
        <v>0</v>
      </c>
      <c r="T136" s="221">
        <f t="shared" si="161"/>
        <v>0</v>
      </c>
      <c r="V136" s="95">
        <v>0</v>
      </c>
      <c r="W136" s="98">
        <v>2.95</v>
      </c>
      <c r="X136" s="99">
        <f t="shared" si="162"/>
        <v>0</v>
      </c>
      <c r="Y136" s="99">
        <f t="shared" si="163"/>
        <v>0</v>
      </c>
      <c r="Z136" s="221">
        <f t="shared" si="164"/>
        <v>0</v>
      </c>
      <c r="AB136" s="222">
        <f t="shared" ref="AB136:AB138" si="170">V136</f>
        <v>0</v>
      </c>
      <c r="AC136" s="98">
        <v>2.95</v>
      </c>
      <c r="AD136" s="99">
        <f t="shared" si="166"/>
        <v>0</v>
      </c>
      <c r="AE136" s="99">
        <f t="shared" si="167"/>
        <v>0</v>
      </c>
      <c r="AF136" s="221">
        <f t="shared" si="168"/>
        <v>0</v>
      </c>
    </row>
    <row r="137" spans="2:32" x14ac:dyDescent="0.2">
      <c r="B137" s="91" t="s">
        <v>127</v>
      </c>
      <c r="C137" s="91" t="s">
        <v>70</v>
      </c>
      <c r="D137" s="91" t="s">
        <v>170</v>
      </c>
      <c r="E137" s="91" t="s">
        <v>156</v>
      </c>
      <c r="F137" s="91" t="s">
        <v>155</v>
      </c>
      <c r="G137" s="91"/>
      <c r="H137" s="91" t="s">
        <v>136</v>
      </c>
      <c r="I137" s="91"/>
      <c r="J137" s="91"/>
      <c r="K137" s="92">
        <f t="shared" si="169"/>
        <v>40</v>
      </c>
      <c r="L137" s="91"/>
      <c r="M137" s="97" t="s">
        <v>52</v>
      </c>
      <c r="N137" s="91" t="s">
        <v>81</v>
      </c>
      <c r="O137" s="91"/>
      <c r="P137" s="95">
        <v>0</v>
      </c>
      <c r="Q137" s="98">
        <v>2.84</v>
      </c>
      <c r="R137" s="99">
        <f t="shared" si="159"/>
        <v>0</v>
      </c>
      <c r="S137" s="99">
        <f t="shared" si="160"/>
        <v>0</v>
      </c>
      <c r="T137" s="221">
        <f t="shared" si="161"/>
        <v>0</v>
      </c>
      <c r="V137" s="95">
        <v>0</v>
      </c>
      <c r="W137" s="98">
        <v>2.84</v>
      </c>
      <c r="X137" s="99">
        <f t="shared" si="162"/>
        <v>0</v>
      </c>
      <c r="Y137" s="99">
        <f t="shared" si="163"/>
        <v>0</v>
      </c>
      <c r="Z137" s="221">
        <f t="shared" si="164"/>
        <v>0</v>
      </c>
      <c r="AB137" s="222">
        <f t="shared" si="170"/>
        <v>0</v>
      </c>
      <c r="AC137" s="98">
        <v>2.84</v>
      </c>
      <c r="AD137" s="99">
        <f t="shared" si="166"/>
        <v>0</v>
      </c>
      <c r="AE137" s="99">
        <f t="shared" si="167"/>
        <v>0</v>
      </c>
      <c r="AF137" s="221">
        <f t="shared" si="168"/>
        <v>0</v>
      </c>
    </row>
    <row r="138" spans="2:32" x14ac:dyDescent="0.2">
      <c r="B138" s="91" t="s">
        <v>127</v>
      </c>
      <c r="C138" s="91" t="s">
        <v>70</v>
      </c>
      <c r="D138" s="91" t="s">
        <v>170</v>
      </c>
      <c r="E138" s="91" t="s">
        <v>156</v>
      </c>
      <c r="F138" s="91" t="s">
        <v>155</v>
      </c>
      <c r="G138" s="91"/>
      <c r="H138" s="91" t="s">
        <v>24</v>
      </c>
      <c r="I138" s="91"/>
      <c r="J138" s="91"/>
      <c r="K138" s="92">
        <f t="shared" si="169"/>
        <v>41</v>
      </c>
      <c r="L138" s="91"/>
      <c r="M138" s="97" t="s">
        <v>24</v>
      </c>
      <c r="N138" s="91" t="s">
        <v>81</v>
      </c>
      <c r="O138" s="91"/>
      <c r="P138" s="95">
        <v>0</v>
      </c>
      <c r="Q138" s="98">
        <v>2.83</v>
      </c>
      <c r="R138" s="99">
        <f t="shared" si="159"/>
        <v>0</v>
      </c>
      <c r="S138" s="99">
        <f t="shared" si="160"/>
        <v>0</v>
      </c>
      <c r="T138" s="221">
        <f t="shared" si="161"/>
        <v>0</v>
      </c>
      <c r="V138" s="95">
        <v>0</v>
      </c>
      <c r="W138" s="98">
        <v>2.83</v>
      </c>
      <c r="X138" s="99">
        <f t="shared" si="162"/>
        <v>0</v>
      </c>
      <c r="Y138" s="99">
        <f t="shared" si="163"/>
        <v>0</v>
      </c>
      <c r="Z138" s="221">
        <f t="shared" si="164"/>
        <v>0</v>
      </c>
      <c r="AB138" s="222">
        <f t="shared" si="170"/>
        <v>0</v>
      </c>
      <c r="AC138" s="98">
        <v>2.83</v>
      </c>
      <c r="AD138" s="99">
        <f t="shared" si="166"/>
        <v>0</v>
      </c>
      <c r="AE138" s="99">
        <f t="shared" si="167"/>
        <v>0</v>
      </c>
      <c r="AF138" s="221">
        <f t="shared" si="168"/>
        <v>0</v>
      </c>
    </row>
    <row r="139" spans="2:32" x14ac:dyDescent="0.2">
      <c r="B139" s="91" t="s">
        <v>127</v>
      </c>
      <c r="C139" s="91" t="s">
        <v>70</v>
      </c>
      <c r="D139" s="91" t="s">
        <v>170</v>
      </c>
      <c r="E139" s="91"/>
      <c r="F139" s="91"/>
      <c r="G139" s="91"/>
      <c r="H139" s="91"/>
      <c r="I139" s="91"/>
      <c r="J139" s="91"/>
      <c r="K139" s="92">
        <f t="shared" si="169"/>
        <v>42</v>
      </c>
      <c r="L139" s="91"/>
      <c r="M139" s="96" t="s">
        <v>157</v>
      </c>
      <c r="N139" s="91"/>
      <c r="O139" s="91"/>
      <c r="P139" s="95"/>
      <c r="Q139" s="98"/>
      <c r="V139" s="95"/>
      <c r="W139" s="98"/>
      <c r="AC139" s="98"/>
    </row>
    <row r="140" spans="2:32" x14ac:dyDescent="0.2">
      <c r="B140" s="91" t="s">
        <v>127</v>
      </c>
      <c r="C140" s="91" t="s">
        <v>70</v>
      </c>
      <c r="D140" s="91" t="s">
        <v>170</v>
      </c>
      <c r="E140" s="91" t="s">
        <v>156</v>
      </c>
      <c r="F140" s="91" t="s">
        <v>157</v>
      </c>
      <c r="G140" s="91"/>
      <c r="H140" s="91" t="s">
        <v>21</v>
      </c>
      <c r="I140" s="91"/>
      <c r="J140" s="91"/>
      <c r="K140" s="92">
        <f t="shared" si="169"/>
        <v>43</v>
      </c>
      <c r="L140" s="91"/>
      <c r="M140" s="97" t="s">
        <v>21</v>
      </c>
      <c r="N140" s="91" t="s">
        <v>81</v>
      </c>
      <c r="O140" s="91"/>
      <c r="P140" s="95">
        <v>18179.152841164498</v>
      </c>
      <c r="Q140" s="98">
        <v>19.158473423424638</v>
      </c>
      <c r="R140" s="99">
        <f t="shared" ref="R140:R144" si="171">P140*Q140</f>
        <v>348284.81656782451</v>
      </c>
      <c r="S140" s="99">
        <f t="shared" ref="S140:S144" si="172">R140*$S$2</f>
        <v>10195.837169775219</v>
      </c>
      <c r="T140" s="221">
        <f t="shared" ref="T140:T144" si="173">S140+R140</f>
        <v>358480.65373759973</v>
      </c>
      <c r="V140" s="95">
        <v>17861.610727381656</v>
      </c>
      <c r="W140" s="98">
        <v>19.020930250417315</v>
      </c>
      <c r="X140" s="99">
        <f t="shared" ref="X140:X144" si="174">V140*W140</f>
        <v>339744.45180563215</v>
      </c>
      <c r="Y140" s="99">
        <f t="shared" ref="Y140:Y144" si="175">X140*$Y$2</f>
        <v>9945.8229160851151</v>
      </c>
      <c r="Z140" s="221">
        <f t="shared" ref="Z140:Z144" si="176">Y140+X140</f>
        <v>349690.27472171729</v>
      </c>
      <c r="AB140" s="222">
        <f t="shared" ref="AB140" si="177">V140</f>
        <v>17861.610727381656</v>
      </c>
      <c r="AC140" s="98">
        <v>18.509090681807798</v>
      </c>
      <c r="AD140" s="99">
        <f t="shared" ref="AD140:AD144" si="178">AB140*AC140</f>
        <v>330602.17267625802</v>
      </c>
      <c r="AE140" s="99">
        <f t="shared" ref="AE140:AE144" si="179">AD140*$AE$2</f>
        <v>9678.1879663841682</v>
      </c>
      <c r="AF140" s="221">
        <f t="shared" ref="AF140:AF144" si="180">AE140+AD140</f>
        <v>340280.36064264219</v>
      </c>
    </row>
    <row r="141" spans="2:32" x14ac:dyDescent="0.2">
      <c r="B141" s="91" t="s">
        <v>127</v>
      </c>
      <c r="C141" s="91" t="s">
        <v>70</v>
      </c>
      <c r="D141" s="91" t="s">
        <v>170</v>
      </c>
      <c r="E141" s="91" t="s">
        <v>156</v>
      </c>
      <c r="F141" s="91" t="s">
        <v>157</v>
      </c>
      <c r="G141" s="91"/>
      <c r="H141" s="91" t="s">
        <v>22</v>
      </c>
      <c r="I141" s="91"/>
      <c r="J141" s="91"/>
      <c r="K141" s="92">
        <f t="shared" si="169"/>
        <v>44</v>
      </c>
      <c r="L141" s="91"/>
      <c r="M141" s="97" t="s">
        <v>22</v>
      </c>
      <c r="N141" s="91" t="s">
        <v>81</v>
      </c>
      <c r="O141" s="91"/>
      <c r="P141" s="95">
        <v>867.93700206658389</v>
      </c>
      <c r="Q141" s="98">
        <v>19.049581765794951</v>
      </c>
      <c r="R141" s="99">
        <f t="shared" si="171"/>
        <v>16533.836888426333</v>
      </c>
      <c r="S141" s="99">
        <f t="shared" si="172"/>
        <v>484.01854082315276</v>
      </c>
      <c r="T141" s="221">
        <f t="shared" si="173"/>
        <v>17017.855429249485</v>
      </c>
      <c r="V141" s="95">
        <v>865.57767498244687</v>
      </c>
      <c r="W141" s="98">
        <v>18.906350938279605</v>
      </c>
      <c r="X141" s="99">
        <f t="shared" si="174"/>
        <v>16364.915287558264</v>
      </c>
      <c r="Y141" s="99">
        <f t="shared" si="175"/>
        <v>479.07345836483324</v>
      </c>
      <c r="Z141" s="221">
        <f t="shared" si="176"/>
        <v>16843.988745923096</v>
      </c>
      <c r="AB141" s="222">
        <f>V141</f>
        <v>865.57767498244687</v>
      </c>
      <c r="AC141" s="98">
        <v>18.397147794193412</v>
      </c>
      <c r="AD141" s="99">
        <f t="shared" si="178"/>
        <v>15924.160414006385</v>
      </c>
      <c r="AE141" s="99">
        <f t="shared" si="179"/>
        <v>466.17061359886077</v>
      </c>
      <c r="AF141" s="221">
        <f t="shared" si="180"/>
        <v>16390.331027605247</v>
      </c>
    </row>
    <row r="142" spans="2:32" x14ac:dyDescent="0.2">
      <c r="B142" s="91" t="s">
        <v>127</v>
      </c>
      <c r="C142" s="91" t="s">
        <v>70</v>
      </c>
      <c r="D142" s="91" t="s">
        <v>170</v>
      </c>
      <c r="E142" s="91" t="s">
        <v>156</v>
      </c>
      <c r="F142" s="91" t="s">
        <v>157</v>
      </c>
      <c r="G142" s="91"/>
      <c r="H142" s="91" t="s">
        <v>135</v>
      </c>
      <c r="I142" s="91"/>
      <c r="J142" s="91"/>
      <c r="K142" s="92">
        <f t="shared" si="169"/>
        <v>45</v>
      </c>
      <c r="L142" s="91"/>
      <c r="M142" s="97" t="s">
        <v>53</v>
      </c>
      <c r="N142" s="91" t="s">
        <v>81</v>
      </c>
      <c r="O142" s="91"/>
      <c r="P142" s="95">
        <v>0</v>
      </c>
      <c r="Q142" s="98">
        <v>0.61</v>
      </c>
      <c r="R142" s="99">
        <f t="shared" si="171"/>
        <v>0</v>
      </c>
      <c r="S142" s="99">
        <f t="shared" si="172"/>
        <v>0</v>
      </c>
      <c r="T142" s="221">
        <f t="shared" si="173"/>
        <v>0</v>
      </c>
      <c r="V142" s="95">
        <v>0</v>
      </c>
      <c r="W142" s="98">
        <v>0.61</v>
      </c>
      <c r="X142" s="99">
        <f t="shared" si="174"/>
        <v>0</v>
      </c>
      <c r="Y142" s="99">
        <f t="shared" si="175"/>
        <v>0</v>
      </c>
      <c r="Z142" s="221">
        <f t="shared" si="176"/>
        <v>0</v>
      </c>
      <c r="AB142" s="222">
        <f t="shared" ref="AB142:AB144" si="181">V142</f>
        <v>0</v>
      </c>
      <c r="AC142" s="98">
        <v>0.61</v>
      </c>
      <c r="AD142" s="99">
        <f t="shared" si="178"/>
        <v>0</v>
      </c>
      <c r="AE142" s="99">
        <f t="shared" si="179"/>
        <v>0</v>
      </c>
      <c r="AF142" s="221">
        <f t="shared" si="180"/>
        <v>0</v>
      </c>
    </row>
    <row r="143" spans="2:32" x14ac:dyDescent="0.2">
      <c r="B143" s="91" t="s">
        <v>127</v>
      </c>
      <c r="C143" s="91" t="s">
        <v>70</v>
      </c>
      <c r="D143" s="91" t="s">
        <v>170</v>
      </c>
      <c r="E143" s="91" t="s">
        <v>156</v>
      </c>
      <c r="F143" s="91" t="s">
        <v>157</v>
      </c>
      <c r="G143" s="91"/>
      <c r="H143" s="91" t="s">
        <v>136</v>
      </c>
      <c r="I143" s="91"/>
      <c r="J143" s="91"/>
      <c r="K143" s="92">
        <f t="shared" si="169"/>
        <v>46</v>
      </c>
      <c r="L143" s="91"/>
      <c r="M143" s="97" t="s">
        <v>52</v>
      </c>
      <c r="N143" s="91" t="s">
        <v>81</v>
      </c>
      <c r="O143" s="91"/>
      <c r="P143" s="95">
        <v>0</v>
      </c>
      <c r="Q143" s="98">
        <v>0.59</v>
      </c>
      <c r="R143" s="99">
        <f t="shared" si="171"/>
        <v>0</v>
      </c>
      <c r="S143" s="99">
        <f t="shared" si="172"/>
        <v>0</v>
      </c>
      <c r="T143" s="221">
        <f t="shared" si="173"/>
        <v>0</v>
      </c>
      <c r="V143" s="95">
        <v>0</v>
      </c>
      <c r="W143" s="98">
        <v>0.59</v>
      </c>
      <c r="X143" s="99">
        <f t="shared" si="174"/>
        <v>0</v>
      </c>
      <c r="Y143" s="99">
        <f t="shared" si="175"/>
        <v>0</v>
      </c>
      <c r="Z143" s="221">
        <f t="shared" si="176"/>
        <v>0</v>
      </c>
      <c r="AB143" s="222">
        <f t="shared" si="181"/>
        <v>0</v>
      </c>
      <c r="AC143" s="98">
        <v>0.59</v>
      </c>
      <c r="AD143" s="99">
        <f t="shared" si="178"/>
        <v>0</v>
      </c>
      <c r="AE143" s="99">
        <f t="shared" si="179"/>
        <v>0</v>
      </c>
      <c r="AF143" s="221">
        <f t="shared" si="180"/>
        <v>0</v>
      </c>
    </row>
    <row r="144" spans="2:32" x14ac:dyDescent="0.2">
      <c r="B144" s="91" t="s">
        <v>127</v>
      </c>
      <c r="C144" s="91" t="s">
        <v>70</v>
      </c>
      <c r="D144" s="91" t="s">
        <v>170</v>
      </c>
      <c r="E144" s="91" t="s">
        <v>156</v>
      </c>
      <c r="F144" s="91" t="s">
        <v>157</v>
      </c>
      <c r="G144" s="91"/>
      <c r="H144" s="91" t="s">
        <v>24</v>
      </c>
      <c r="I144" s="91"/>
      <c r="J144" s="91"/>
      <c r="K144" s="92">
        <f t="shared" si="169"/>
        <v>47</v>
      </c>
      <c r="L144" s="91"/>
      <c r="M144" s="97" t="s">
        <v>24</v>
      </c>
      <c r="N144" s="91" t="s">
        <v>81</v>
      </c>
      <c r="O144" s="91"/>
      <c r="P144" s="95">
        <v>0</v>
      </c>
      <c r="Q144" s="98">
        <v>0.59</v>
      </c>
      <c r="R144" s="99">
        <f t="shared" si="171"/>
        <v>0</v>
      </c>
      <c r="S144" s="99">
        <f t="shared" si="172"/>
        <v>0</v>
      </c>
      <c r="T144" s="221">
        <f t="shared" si="173"/>
        <v>0</v>
      </c>
      <c r="V144" s="95">
        <v>0</v>
      </c>
      <c r="W144" s="98">
        <v>0.59</v>
      </c>
      <c r="X144" s="99">
        <f t="shared" si="174"/>
        <v>0</v>
      </c>
      <c r="Y144" s="99">
        <f t="shared" si="175"/>
        <v>0</v>
      </c>
      <c r="Z144" s="221">
        <f t="shared" si="176"/>
        <v>0</v>
      </c>
      <c r="AB144" s="222">
        <f t="shared" si="181"/>
        <v>0</v>
      </c>
      <c r="AC144" s="98">
        <v>0.59</v>
      </c>
      <c r="AD144" s="99">
        <f t="shared" si="178"/>
        <v>0</v>
      </c>
      <c r="AE144" s="99">
        <f t="shared" si="179"/>
        <v>0</v>
      </c>
      <c r="AF144" s="221">
        <f t="shared" si="180"/>
        <v>0</v>
      </c>
    </row>
    <row r="145" spans="2:32" x14ac:dyDescent="0.2">
      <c r="B145" s="91" t="s">
        <v>127</v>
      </c>
      <c r="C145" s="91" t="s">
        <v>70</v>
      </c>
      <c r="D145" s="91" t="s">
        <v>170</v>
      </c>
      <c r="E145" s="91"/>
      <c r="F145" s="91"/>
      <c r="G145" s="91"/>
      <c r="H145" s="91"/>
      <c r="I145" s="91"/>
      <c r="J145" s="91"/>
      <c r="K145" s="92">
        <f t="shared" si="169"/>
        <v>48</v>
      </c>
      <c r="L145" s="91"/>
      <c r="M145" s="100" t="s">
        <v>158</v>
      </c>
      <c r="N145" s="91"/>
      <c r="O145" s="91"/>
      <c r="P145" s="95"/>
      <c r="Q145" s="98"/>
      <c r="V145" s="95"/>
      <c r="W145" s="98"/>
      <c r="AC145" s="98"/>
    </row>
    <row r="146" spans="2:32" x14ac:dyDescent="0.2">
      <c r="B146" s="91" t="s">
        <v>127</v>
      </c>
      <c r="C146" s="91" t="s">
        <v>70</v>
      </c>
      <c r="D146" s="91" t="s">
        <v>170</v>
      </c>
      <c r="E146" s="91" t="s">
        <v>158</v>
      </c>
      <c r="F146" s="91"/>
      <c r="G146" s="91"/>
      <c r="H146" s="91" t="s">
        <v>21</v>
      </c>
      <c r="I146" s="91"/>
      <c r="J146" s="91"/>
      <c r="K146" s="92">
        <f t="shared" si="169"/>
        <v>49</v>
      </c>
      <c r="L146" s="91"/>
      <c r="M146" s="96" t="s">
        <v>21</v>
      </c>
      <c r="N146" s="91" t="s">
        <v>159</v>
      </c>
      <c r="O146" s="91"/>
      <c r="P146" s="95"/>
      <c r="Q146" s="98">
        <v>0.25</v>
      </c>
      <c r="R146" s="99">
        <f t="shared" ref="R146:R150" si="182">P146*Q146</f>
        <v>0</v>
      </c>
      <c r="S146" s="99">
        <f t="shared" ref="S146:S150" si="183">R146*$S$2</f>
        <v>0</v>
      </c>
      <c r="T146" s="221">
        <f t="shared" ref="T146:T150" si="184">S146+R146</f>
        <v>0</v>
      </c>
      <c r="V146" s="95"/>
      <c r="W146" s="98">
        <v>0.25</v>
      </c>
      <c r="X146" s="99">
        <f t="shared" ref="X146:X150" si="185">V146*W146</f>
        <v>0</v>
      </c>
      <c r="Y146" s="99">
        <f t="shared" ref="Y146:Y150" si="186">X146*$Y$2</f>
        <v>0</v>
      </c>
      <c r="Z146" s="221">
        <f t="shared" ref="Z146:Z150" si="187">Y146+X146</f>
        <v>0</v>
      </c>
      <c r="AB146" s="222">
        <f t="shared" ref="AB146" si="188">V146</f>
        <v>0</v>
      </c>
      <c r="AC146" s="98">
        <v>0.25</v>
      </c>
      <c r="AD146" s="99">
        <f t="shared" ref="AD146:AD150" si="189">AB146*AC146</f>
        <v>0</v>
      </c>
      <c r="AE146" s="99">
        <f t="shared" ref="AE146:AE150" si="190">AD146*$AE$2</f>
        <v>0</v>
      </c>
      <c r="AF146" s="221">
        <f t="shared" ref="AF146:AF150" si="191">AE146+AD146</f>
        <v>0</v>
      </c>
    </row>
    <row r="147" spans="2:32" x14ac:dyDescent="0.2">
      <c r="B147" s="91" t="s">
        <v>127</v>
      </c>
      <c r="C147" s="91" t="s">
        <v>70</v>
      </c>
      <c r="D147" s="91" t="s">
        <v>170</v>
      </c>
      <c r="E147" s="91" t="s">
        <v>158</v>
      </c>
      <c r="F147" s="91"/>
      <c r="G147" s="91"/>
      <c r="H147" s="91" t="s">
        <v>22</v>
      </c>
      <c r="I147" s="91"/>
      <c r="J147" s="91"/>
      <c r="K147" s="92">
        <f t="shared" si="169"/>
        <v>50</v>
      </c>
      <c r="L147" s="91"/>
      <c r="M147" s="96" t="s">
        <v>22</v>
      </c>
      <c r="N147" s="91" t="s">
        <v>159</v>
      </c>
      <c r="O147" s="91"/>
      <c r="P147" s="95"/>
      <c r="Q147" s="98">
        <v>0.25</v>
      </c>
      <c r="R147" s="99">
        <f t="shared" si="182"/>
        <v>0</v>
      </c>
      <c r="S147" s="99">
        <f t="shared" si="183"/>
        <v>0</v>
      </c>
      <c r="T147" s="221">
        <f t="shared" si="184"/>
        <v>0</v>
      </c>
      <c r="V147" s="95"/>
      <c r="W147" s="98">
        <v>0.25</v>
      </c>
      <c r="X147" s="99">
        <f t="shared" si="185"/>
        <v>0</v>
      </c>
      <c r="Y147" s="99">
        <f t="shared" si="186"/>
        <v>0</v>
      </c>
      <c r="Z147" s="221">
        <f t="shared" si="187"/>
        <v>0</v>
      </c>
      <c r="AB147" s="222">
        <f>V147</f>
        <v>0</v>
      </c>
      <c r="AC147" s="98">
        <v>0.25</v>
      </c>
      <c r="AD147" s="99">
        <f t="shared" si="189"/>
        <v>0</v>
      </c>
      <c r="AE147" s="99">
        <f t="shared" si="190"/>
        <v>0</v>
      </c>
      <c r="AF147" s="221">
        <f t="shared" si="191"/>
        <v>0</v>
      </c>
    </row>
    <row r="148" spans="2:32" x14ac:dyDescent="0.2">
      <c r="B148" s="91" t="s">
        <v>127</v>
      </c>
      <c r="C148" s="91" t="s">
        <v>70</v>
      </c>
      <c r="D148" s="91" t="s">
        <v>170</v>
      </c>
      <c r="E148" s="91" t="s">
        <v>158</v>
      </c>
      <c r="F148" s="91"/>
      <c r="G148" s="91"/>
      <c r="H148" s="91" t="s">
        <v>135</v>
      </c>
      <c r="I148" s="91"/>
      <c r="J148" s="91"/>
      <c r="K148" s="92">
        <f t="shared" si="169"/>
        <v>51</v>
      </c>
      <c r="L148" s="91"/>
      <c r="M148" s="96" t="s">
        <v>53</v>
      </c>
      <c r="N148" s="91" t="s">
        <v>159</v>
      </c>
      <c r="O148" s="91"/>
      <c r="P148" s="95"/>
      <c r="Q148" s="98">
        <v>0.25</v>
      </c>
      <c r="R148" s="99">
        <f t="shared" si="182"/>
        <v>0</v>
      </c>
      <c r="S148" s="99">
        <f t="shared" si="183"/>
        <v>0</v>
      </c>
      <c r="T148" s="221">
        <f t="shared" si="184"/>
        <v>0</v>
      </c>
      <c r="V148" s="95"/>
      <c r="W148" s="98">
        <v>0.25</v>
      </c>
      <c r="X148" s="99">
        <f t="shared" si="185"/>
        <v>0</v>
      </c>
      <c r="Y148" s="99">
        <f t="shared" si="186"/>
        <v>0</v>
      </c>
      <c r="Z148" s="221">
        <f t="shared" si="187"/>
        <v>0</v>
      </c>
      <c r="AB148" s="222">
        <f t="shared" ref="AB148:AB150" si="192">V148</f>
        <v>0</v>
      </c>
      <c r="AC148" s="98">
        <v>0.25</v>
      </c>
      <c r="AD148" s="99">
        <f t="shared" si="189"/>
        <v>0</v>
      </c>
      <c r="AE148" s="99">
        <f t="shared" si="190"/>
        <v>0</v>
      </c>
      <c r="AF148" s="221">
        <f t="shared" si="191"/>
        <v>0</v>
      </c>
    </row>
    <row r="149" spans="2:32" x14ac:dyDescent="0.2">
      <c r="B149" s="91" t="s">
        <v>127</v>
      </c>
      <c r="C149" s="91" t="s">
        <v>70</v>
      </c>
      <c r="D149" s="91" t="s">
        <v>170</v>
      </c>
      <c r="E149" s="91" t="s">
        <v>158</v>
      </c>
      <c r="F149" s="91"/>
      <c r="G149" s="91"/>
      <c r="H149" s="91" t="s">
        <v>136</v>
      </c>
      <c r="I149" s="91"/>
      <c r="J149" s="91"/>
      <c r="K149" s="92">
        <f t="shared" si="169"/>
        <v>52</v>
      </c>
      <c r="L149" s="91"/>
      <c r="M149" s="96" t="s">
        <v>52</v>
      </c>
      <c r="N149" s="91" t="s">
        <v>159</v>
      </c>
      <c r="O149" s="91"/>
      <c r="P149" s="95"/>
      <c r="Q149" s="98">
        <v>0.25</v>
      </c>
      <c r="R149" s="99">
        <f t="shared" si="182"/>
        <v>0</v>
      </c>
      <c r="S149" s="99">
        <f t="shared" si="183"/>
        <v>0</v>
      </c>
      <c r="T149" s="221">
        <f t="shared" si="184"/>
        <v>0</v>
      </c>
      <c r="V149" s="95"/>
      <c r="W149" s="98">
        <v>0.25</v>
      </c>
      <c r="X149" s="99">
        <f t="shared" si="185"/>
        <v>0</v>
      </c>
      <c r="Y149" s="99">
        <f t="shared" si="186"/>
        <v>0</v>
      </c>
      <c r="Z149" s="221">
        <f t="shared" si="187"/>
        <v>0</v>
      </c>
      <c r="AB149" s="222">
        <f t="shared" si="192"/>
        <v>0</v>
      </c>
      <c r="AC149" s="98">
        <v>0.25</v>
      </c>
      <c r="AD149" s="99">
        <f t="shared" si="189"/>
        <v>0</v>
      </c>
      <c r="AE149" s="99">
        <f t="shared" si="190"/>
        <v>0</v>
      </c>
      <c r="AF149" s="221">
        <f t="shared" si="191"/>
        <v>0</v>
      </c>
    </row>
    <row r="150" spans="2:32" x14ac:dyDescent="0.2">
      <c r="B150" s="91" t="s">
        <v>127</v>
      </c>
      <c r="C150" s="91" t="s">
        <v>70</v>
      </c>
      <c r="D150" s="91" t="s">
        <v>170</v>
      </c>
      <c r="E150" s="91" t="s">
        <v>158</v>
      </c>
      <c r="F150" s="91"/>
      <c r="G150" s="91"/>
      <c r="H150" s="91" t="s">
        <v>24</v>
      </c>
      <c r="I150" s="91"/>
      <c r="J150" s="91"/>
      <c r="K150" s="92">
        <f t="shared" si="169"/>
        <v>53</v>
      </c>
      <c r="L150" s="91"/>
      <c r="M150" s="96" t="s">
        <v>24</v>
      </c>
      <c r="N150" s="91" t="s">
        <v>159</v>
      </c>
      <c r="O150" s="91"/>
      <c r="P150" s="95"/>
      <c r="Q150" s="98">
        <v>0</v>
      </c>
      <c r="R150" s="99">
        <f t="shared" si="182"/>
        <v>0</v>
      </c>
      <c r="S150" s="99">
        <f t="shared" si="183"/>
        <v>0</v>
      </c>
      <c r="T150" s="221">
        <f t="shared" si="184"/>
        <v>0</v>
      </c>
      <c r="V150" s="95"/>
      <c r="W150" s="98">
        <v>0</v>
      </c>
      <c r="X150" s="99">
        <f t="shared" si="185"/>
        <v>0</v>
      </c>
      <c r="Y150" s="99">
        <f t="shared" si="186"/>
        <v>0</v>
      </c>
      <c r="Z150" s="221">
        <f t="shared" si="187"/>
        <v>0</v>
      </c>
      <c r="AB150" s="222">
        <f t="shared" si="192"/>
        <v>0</v>
      </c>
      <c r="AC150" s="98">
        <v>0</v>
      </c>
      <c r="AD150" s="99">
        <f t="shared" si="189"/>
        <v>0</v>
      </c>
      <c r="AE150" s="99">
        <f t="shared" si="190"/>
        <v>0</v>
      </c>
      <c r="AF150" s="221">
        <f t="shared" si="191"/>
        <v>0</v>
      </c>
    </row>
    <row r="151" spans="2:32" x14ac:dyDescent="0.2">
      <c r="B151" s="223" t="s">
        <v>127</v>
      </c>
      <c r="C151" s="223" t="s">
        <v>70</v>
      </c>
      <c r="D151" s="106" t="s">
        <v>170</v>
      </c>
      <c r="E151" s="223"/>
      <c r="F151" s="223"/>
      <c r="G151" s="223"/>
      <c r="H151" s="223"/>
      <c r="I151" s="223"/>
      <c r="J151" s="107"/>
      <c r="K151" s="101">
        <f t="shared" si="169"/>
        <v>54</v>
      </c>
      <c r="L151" s="102"/>
      <c r="M151" s="102" t="s">
        <v>160</v>
      </c>
      <c r="N151" s="102"/>
      <c r="O151" s="91"/>
      <c r="P151" s="95"/>
      <c r="Q151" s="103"/>
      <c r="V151" s="95"/>
      <c r="W151" s="103"/>
      <c r="AC151" s="103"/>
    </row>
    <row r="152" spans="2:32" x14ac:dyDescent="0.2">
      <c r="B152" s="223" t="s">
        <v>127</v>
      </c>
      <c r="C152" s="223" t="s">
        <v>70</v>
      </c>
      <c r="D152" s="106" t="s">
        <v>170</v>
      </c>
      <c r="E152" s="223" t="s">
        <v>161</v>
      </c>
      <c r="F152" s="223" t="s">
        <v>155</v>
      </c>
      <c r="G152" s="223" t="s">
        <v>162</v>
      </c>
      <c r="H152" s="223" t="s">
        <v>21</v>
      </c>
      <c r="I152" s="223"/>
      <c r="J152" s="107"/>
      <c r="K152" s="101">
        <f t="shared" si="169"/>
        <v>55</v>
      </c>
      <c r="L152" s="102"/>
      <c r="M152" s="104" t="s">
        <v>21</v>
      </c>
      <c r="N152" s="102" t="s">
        <v>82</v>
      </c>
      <c r="O152" s="91"/>
      <c r="P152" s="95">
        <v>1499196.2876607634</v>
      </c>
      <c r="Q152" s="103">
        <v>6.0868951733920561E-3</v>
      </c>
      <c r="R152" s="99">
        <f t="shared" ref="R152:R156" si="193">P152*Q152</f>
        <v>9125.4506473295896</v>
      </c>
      <c r="S152" s="99">
        <f t="shared" ref="S152:S186" si="194">R152*$S$2</f>
        <v>267.1423055930822</v>
      </c>
      <c r="T152" s="221">
        <f t="shared" ref="T152:T156" si="195">S152+R152</f>
        <v>9392.5929529226723</v>
      </c>
      <c r="V152" s="95">
        <v>1428350.3727543876</v>
      </c>
      <c r="W152" s="103">
        <v>7.0980861795213032E-3</v>
      </c>
      <c r="X152" s="99">
        <f t="shared" ref="X152:X156" si="196">V152*W152</f>
        <v>10138.55404036202</v>
      </c>
      <c r="Y152" s="99">
        <f t="shared" ref="Y152:Y186" si="197">X152*$Y$2</f>
        <v>296.80032322731893</v>
      </c>
      <c r="Z152" s="221">
        <f t="shared" ref="Z152:Z156" si="198">Y152+X152</f>
        <v>10435.354363589338</v>
      </c>
      <c r="AB152" s="222">
        <f t="shared" ref="AB152" si="199">V152</f>
        <v>1428350.3727543876</v>
      </c>
      <c r="AC152" s="103">
        <v>7.0980861795213032E-3</v>
      </c>
      <c r="AD152" s="99">
        <f t="shared" ref="AD152:AD156" si="200">AB152*AC152</f>
        <v>10138.55404036202</v>
      </c>
      <c r="AE152" s="99">
        <f t="shared" ref="AE152:AE186" si="201">AD152*$AE$2</f>
        <v>296.80032322731893</v>
      </c>
      <c r="AF152" s="221">
        <f t="shared" ref="AF152:AF156" si="202">AE152+AD152</f>
        <v>10435.354363589338</v>
      </c>
    </row>
    <row r="153" spans="2:32" x14ac:dyDescent="0.2">
      <c r="B153" s="223" t="s">
        <v>127</v>
      </c>
      <c r="C153" s="223" t="s">
        <v>70</v>
      </c>
      <c r="D153" s="106" t="s">
        <v>170</v>
      </c>
      <c r="E153" s="223" t="s">
        <v>161</v>
      </c>
      <c r="F153" s="223" t="s">
        <v>155</v>
      </c>
      <c r="G153" s="223" t="s">
        <v>162</v>
      </c>
      <c r="H153" s="223" t="s">
        <v>22</v>
      </c>
      <c r="I153" s="223"/>
      <c r="J153" s="107"/>
      <c r="K153" s="101">
        <f t="shared" si="169"/>
        <v>56</v>
      </c>
      <c r="L153" s="102"/>
      <c r="M153" s="104" t="s">
        <v>22</v>
      </c>
      <c r="N153" s="102" t="s">
        <v>82</v>
      </c>
      <c r="O153" s="91"/>
      <c r="P153" s="95">
        <v>65260.900316880077</v>
      </c>
      <c r="Q153" s="103">
        <v>6.0868951733920561E-3</v>
      </c>
      <c r="R153" s="99">
        <f t="shared" si="193"/>
        <v>397.23625915003743</v>
      </c>
      <c r="S153" s="99">
        <f t="shared" si="194"/>
        <v>11.628862423968719</v>
      </c>
      <c r="T153" s="221">
        <f t="shared" si="195"/>
        <v>408.86512157400614</v>
      </c>
      <c r="V153" s="95">
        <v>62930.176195304877</v>
      </c>
      <c r="W153" s="103">
        <v>7.0980861795213032E-3</v>
      </c>
      <c r="X153" s="99">
        <f t="shared" si="196"/>
        <v>446.68381392673405</v>
      </c>
      <c r="Y153" s="99">
        <f t="shared" si="197"/>
        <v>13.076411076577182</v>
      </c>
      <c r="Z153" s="221">
        <f t="shared" si="198"/>
        <v>459.76022500331123</v>
      </c>
      <c r="AB153" s="222">
        <f>V153</f>
        <v>62930.176195304877</v>
      </c>
      <c r="AC153" s="103">
        <v>7.0980861795213032E-3</v>
      </c>
      <c r="AD153" s="99">
        <f t="shared" si="200"/>
        <v>446.68381392673405</v>
      </c>
      <c r="AE153" s="99">
        <f t="shared" si="201"/>
        <v>13.076411076577182</v>
      </c>
      <c r="AF153" s="221">
        <f t="shared" si="202"/>
        <v>459.76022500331123</v>
      </c>
    </row>
    <row r="154" spans="2:32" x14ac:dyDescent="0.2">
      <c r="B154" s="223" t="s">
        <v>127</v>
      </c>
      <c r="C154" s="223" t="s">
        <v>70</v>
      </c>
      <c r="D154" s="106" t="s">
        <v>170</v>
      </c>
      <c r="E154" s="223" t="s">
        <v>161</v>
      </c>
      <c r="F154" s="223" t="s">
        <v>155</v>
      </c>
      <c r="G154" s="223" t="s">
        <v>162</v>
      </c>
      <c r="H154" s="223" t="s">
        <v>135</v>
      </c>
      <c r="I154" s="223"/>
      <c r="J154" s="107"/>
      <c r="K154" s="101">
        <f t="shared" si="169"/>
        <v>57</v>
      </c>
      <c r="L154" s="102"/>
      <c r="M154" s="104" t="s">
        <v>53</v>
      </c>
      <c r="N154" s="102" t="s">
        <v>82</v>
      </c>
      <c r="O154" s="91"/>
      <c r="P154" s="95">
        <v>0</v>
      </c>
      <c r="Q154" s="103">
        <v>4.5700792346009432E-3</v>
      </c>
      <c r="R154" s="99">
        <f t="shared" si="193"/>
        <v>0</v>
      </c>
      <c r="S154" s="99">
        <f t="shared" si="194"/>
        <v>0</v>
      </c>
      <c r="T154" s="221">
        <f t="shared" si="195"/>
        <v>0</v>
      </c>
      <c r="V154" s="95">
        <v>0</v>
      </c>
      <c r="W154" s="103">
        <v>5.5966525837132268E-3</v>
      </c>
      <c r="X154" s="99">
        <f t="shared" si="196"/>
        <v>0</v>
      </c>
      <c r="Y154" s="99">
        <f t="shared" si="197"/>
        <v>0</v>
      </c>
      <c r="Z154" s="221">
        <f t="shared" si="198"/>
        <v>0</v>
      </c>
      <c r="AB154" s="222">
        <f t="shared" ref="AB154:AB156" si="203">V154</f>
        <v>0</v>
      </c>
      <c r="AC154" s="103">
        <v>5.5966525837132268E-3</v>
      </c>
      <c r="AD154" s="99">
        <f t="shared" si="200"/>
        <v>0</v>
      </c>
      <c r="AE154" s="99">
        <f t="shared" si="201"/>
        <v>0</v>
      </c>
      <c r="AF154" s="221">
        <f t="shared" si="202"/>
        <v>0</v>
      </c>
    </row>
    <row r="155" spans="2:32" x14ac:dyDescent="0.2">
      <c r="B155" s="223" t="s">
        <v>127</v>
      </c>
      <c r="C155" s="223" t="s">
        <v>70</v>
      </c>
      <c r="D155" s="106" t="s">
        <v>170</v>
      </c>
      <c r="E155" s="223" t="s">
        <v>161</v>
      </c>
      <c r="F155" s="223" t="s">
        <v>155</v>
      </c>
      <c r="G155" s="223" t="s">
        <v>162</v>
      </c>
      <c r="H155" s="223" t="s">
        <v>136</v>
      </c>
      <c r="I155" s="223"/>
      <c r="J155" s="107"/>
      <c r="K155" s="101">
        <f t="shared" si="169"/>
        <v>58</v>
      </c>
      <c r="L155" s="102"/>
      <c r="M155" s="104" t="s">
        <v>52</v>
      </c>
      <c r="N155" s="102" t="s">
        <v>82</v>
      </c>
      <c r="O155" s="91"/>
      <c r="P155" s="95">
        <v>0</v>
      </c>
      <c r="Q155" s="103">
        <v>4.5700792346009432E-3</v>
      </c>
      <c r="R155" s="99">
        <f t="shared" si="193"/>
        <v>0</v>
      </c>
      <c r="S155" s="99">
        <f t="shared" si="194"/>
        <v>0</v>
      </c>
      <c r="T155" s="221">
        <f t="shared" si="195"/>
        <v>0</v>
      </c>
      <c r="V155" s="95">
        <v>0</v>
      </c>
      <c r="W155" s="103">
        <v>5.5966525837132268E-3</v>
      </c>
      <c r="X155" s="99">
        <f t="shared" si="196"/>
        <v>0</v>
      </c>
      <c r="Y155" s="99">
        <f t="shared" si="197"/>
        <v>0</v>
      </c>
      <c r="Z155" s="221">
        <f t="shared" si="198"/>
        <v>0</v>
      </c>
      <c r="AB155" s="222">
        <f t="shared" si="203"/>
        <v>0</v>
      </c>
      <c r="AC155" s="103">
        <v>5.5966525837132268E-3</v>
      </c>
      <c r="AD155" s="99">
        <f t="shared" si="200"/>
        <v>0</v>
      </c>
      <c r="AE155" s="99">
        <f t="shared" si="201"/>
        <v>0</v>
      </c>
      <c r="AF155" s="221">
        <f t="shared" si="202"/>
        <v>0</v>
      </c>
    </row>
    <row r="156" spans="2:32" x14ac:dyDescent="0.2">
      <c r="B156" s="223" t="s">
        <v>127</v>
      </c>
      <c r="C156" s="223" t="s">
        <v>70</v>
      </c>
      <c r="D156" s="106" t="s">
        <v>170</v>
      </c>
      <c r="E156" s="223" t="s">
        <v>161</v>
      </c>
      <c r="F156" s="223" t="s">
        <v>155</v>
      </c>
      <c r="G156" s="223" t="s">
        <v>162</v>
      </c>
      <c r="H156" s="223" t="s">
        <v>24</v>
      </c>
      <c r="I156" s="223"/>
      <c r="J156" s="107"/>
      <c r="K156" s="101">
        <f t="shared" si="169"/>
        <v>59</v>
      </c>
      <c r="L156" s="102"/>
      <c r="M156" s="104" t="s">
        <v>24</v>
      </c>
      <c r="N156" s="102" t="s">
        <v>82</v>
      </c>
      <c r="O156" s="91"/>
      <c r="P156" s="95">
        <v>0</v>
      </c>
      <c r="Q156" s="103">
        <v>4.5700792346009432E-3</v>
      </c>
      <c r="R156" s="99">
        <f t="shared" si="193"/>
        <v>0</v>
      </c>
      <c r="S156" s="99">
        <f t="shared" si="194"/>
        <v>0</v>
      </c>
      <c r="T156" s="221">
        <f t="shared" si="195"/>
        <v>0</v>
      </c>
      <c r="V156" s="95">
        <v>0</v>
      </c>
      <c r="W156" s="103">
        <v>5.5966525837132268E-3</v>
      </c>
      <c r="X156" s="99">
        <f t="shared" si="196"/>
        <v>0</v>
      </c>
      <c r="Y156" s="99">
        <f t="shared" si="197"/>
        <v>0</v>
      </c>
      <c r="Z156" s="221">
        <f t="shared" si="198"/>
        <v>0</v>
      </c>
      <c r="AB156" s="222">
        <f t="shared" si="203"/>
        <v>0</v>
      </c>
      <c r="AC156" s="103">
        <v>5.5966525837132268E-3</v>
      </c>
      <c r="AD156" s="99">
        <f t="shared" si="200"/>
        <v>0</v>
      </c>
      <c r="AE156" s="99">
        <f t="shared" si="201"/>
        <v>0</v>
      </c>
      <c r="AF156" s="221">
        <f t="shared" si="202"/>
        <v>0</v>
      </c>
    </row>
    <row r="157" spans="2:32" x14ac:dyDescent="0.2">
      <c r="B157" s="223" t="s">
        <v>127</v>
      </c>
      <c r="C157" s="223" t="s">
        <v>70</v>
      </c>
      <c r="D157" s="106" t="s">
        <v>170</v>
      </c>
      <c r="E157" s="223"/>
      <c r="F157" s="223"/>
      <c r="G157" s="223"/>
      <c r="H157" s="223"/>
      <c r="I157" s="223"/>
      <c r="J157" s="107"/>
      <c r="K157" s="101">
        <f t="shared" si="169"/>
        <v>60</v>
      </c>
      <c r="L157" s="102"/>
      <c r="M157" s="102" t="s">
        <v>163</v>
      </c>
      <c r="N157" s="102"/>
      <c r="P157" s="95"/>
      <c r="Q157" s="98"/>
      <c r="V157" s="95"/>
      <c r="W157" s="98"/>
      <c r="AC157" s="98"/>
    </row>
    <row r="158" spans="2:32" x14ac:dyDescent="0.2">
      <c r="B158" s="223" t="s">
        <v>127</v>
      </c>
      <c r="C158" s="223" t="s">
        <v>70</v>
      </c>
      <c r="D158" s="106" t="s">
        <v>170</v>
      </c>
      <c r="E158" s="223" t="s">
        <v>161</v>
      </c>
      <c r="F158" s="223" t="s">
        <v>155</v>
      </c>
      <c r="G158" s="223" t="s">
        <v>164</v>
      </c>
      <c r="H158" s="223" t="s">
        <v>21</v>
      </c>
      <c r="I158" s="223"/>
      <c r="J158" s="107"/>
      <c r="K158" s="101">
        <f t="shared" si="169"/>
        <v>61</v>
      </c>
      <c r="L158" s="102"/>
      <c r="M158" s="104" t="s">
        <v>21</v>
      </c>
      <c r="N158" s="102" t="s">
        <v>82</v>
      </c>
      <c r="P158" s="95">
        <v>3045576.0258739982</v>
      </c>
      <c r="Q158" s="103">
        <v>6.0868951733920561E-3</v>
      </c>
      <c r="R158" s="99">
        <f t="shared" ref="R158:R162" si="204">P158*Q158</f>
        <v>18538.102012091</v>
      </c>
      <c r="S158" s="99">
        <f t="shared" si="194"/>
        <v>542.69224657731911</v>
      </c>
      <c r="T158" s="221">
        <f t="shared" ref="T158:T162" si="205">S158+R158</f>
        <v>19080.79425866832</v>
      </c>
      <c r="V158" s="95">
        <v>2882067.7832520651</v>
      </c>
      <c r="W158" s="103">
        <v>7.0980861795213032E-3</v>
      </c>
      <c r="X158" s="99">
        <f t="shared" ref="X158:X162" si="206">V158*W158</f>
        <v>20457.165500745083</v>
      </c>
      <c r="Y158" s="99">
        <f t="shared" si="197"/>
        <v>598.87172359729266</v>
      </c>
      <c r="Z158" s="221">
        <f t="shared" ref="Z158:Z162" si="207">Y158+X158</f>
        <v>21056.037224342377</v>
      </c>
      <c r="AB158" s="222">
        <f t="shared" ref="AB158" si="208">V158</f>
        <v>2882067.7832520651</v>
      </c>
      <c r="AC158" s="103">
        <v>7.0980861795213032E-3</v>
      </c>
      <c r="AD158" s="99">
        <f t="shared" ref="AD158:AD162" si="209">AB158*AC158</f>
        <v>20457.165500745083</v>
      </c>
      <c r="AE158" s="99">
        <f t="shared" si="201"/>
        <v>598.87172359729266</v>
      </c>
      <c r="AF158" s="221">
        <f t="shared" ref="AF158:AF162" si="210">AE158+AD158</f>
        <v>21056.037224342377</v>
      </c>
    </row>
    <row r="159" spans="2:32" x14ac:dyDescent="0.2">
      <c r="B159" s="223" t="s">
        <v>127</v>
      </c>
      <c r="C159" s="223" t="s">
        <v>70</v>
      </c>
      <c r="D159" s="106" t="s">
        <v>170</v>
      </c>
      <c r="E159" s="223" t="s">
        <v>161</v>
      </c>
      <c r="F159" s="223" t="s">
        <v>155</v>
      </c>
      <c r="G159" s="223" t="s">
        <v>164</v>
      </c>
      <c r="H159" s="223" t="s">
        <v>22</v>
      </c>
      <c r="I159" s="223"/>
      <c r="J159" s="107"/>
      <c r="K159" s="101">
        <f t="shared" si="169"/>
        <v>62</v>
      </c>
      <c r="L159" s="102"/>
      <c r="M159" s="104" t="s">
        <v>22</v>
      </c>
      <c r="N159" s="102" t="s">
        <v>82</v>
      </c>
      <c r="P159" s="95">
        <v>112778.72963544163</v>
      </c>
      <c r="Q159" s="103">
        <v>6.0868951733920561E-3</v>
      </c>
      <c r="R159" s="99">
        <f t="shared" si="204"/>
        <v>686.47230507925735</v>
      </c>
      <c r="S159" s="99">
        <f t="shared" si="194"/>
        <v>20.096080883231263</v>
      </c>
      <c r="T159" s="221">
        <f t="shared" si="205"/>
        <v>706.56838596248861</v>
      </c>
      <c r="V159" s="95">
        <v>108750.95643149238</v>
      </c>
      <c r="W159" s="103">
        <v>7.0980861795213032E-3</v>
      </c>
      <c r="X159" s="99">
        <f t="shared" si="206"/>
        <v>771.92366085609945</v>
      </c>
      <c r="Y159" s="99">
        <f t="shared" si="197"/>
        <v>22.59762004885707</v>
      </c>
      <c r="Z159" s="221">
        <f t="shared" si="207"/>
        <v>794.52128090495648</v>
      </c>
      <c r="AB159" s="222">
        <f>V159</f>
        <v>108750.95643149238</v>
      </c>
      <c r="AC159" s="103">
        <v>7.0980861795213032E-3</v>
      </c>
      <c r="AD159" s="99">
        <f t="shared" si="209"/>
        <v>771.92366085609945</v>
      </c>
      <c r="AE159" s="99">
        <f t="shared" si="201"/>
        <v>22.59762004885707</v>
      </c>
      <c r="AF159" s="221">
        <f t="shared" si="210"/>
        <v>794.52128090495648</v>
      </c>
    </row>
    <row r="160" spans="2:32" x14ac:dyDescent="0.2">
      <c r="B160" s="223" t="s">
        <v>127</v>
      </c>
      <c r="C160" s="223" t="s">
        <v>70</v>
      </c>
      <c r="D160" s="106" t="s">
        <v>170</v>
      </c>
      <c r="E160" s="223" t="s">
        <v>161</v>
      </c>
      <c r="F160" s="223" t="s">
        <v>155</v>
      </c>
      <c r="G160" s="223" t="s">
        <v>164</v>
      </c>
      <c r="H160" s="223" t="s">
        <v>135</v>
      </c>
      <c r="I160" s="223"/>
      <c r="J160" s="107"/>
      <c r="K160" s="101">
        <f t="shared" si="169"/>
        <v>63</v>
      </c>
      <c r="L160" s="102"/>
      <c r="M160" s="104" t="s">
        <v>53</v>
      </c>
      <c r="N160" s="102" t="s">
        <v>82</v>
      </c>
      <c r="P160" s="95">
        <v>0</v>
      </c>
      <c r="Q160" s="103">
        <v>4.5700792346009432E-3</v>
      </c>
      <c r="R160" s="99">
        <f t="shared" si="204"/>
        <v>0</v>
      </c>
      <c r="S160" s="99">
        <f t="shared" si="194"/>
        <v>0</v>
      </c>
      <c r="T160" s="221">
        <f t="shared" si="205"/>
        <v>0</v>
      </c>
      <c r="V160" s="95">
        <v>0</v>
      </c>
      <c r="W160" s="103">
        <v>5.5966525837132268E-3</v>
      </c>
      <c r="X160" s="99">
        <f t="shared" si="206"/>
        <v>0</v>
      </c>
      <c r="Y160" s="99">
        <f t="shared" si="197"/>
        <v>0</v>
      </c>
      <c r="Z160" s="221">
        <f t="shared" si="207"/>
        <v>0</v>
      </c>
      <c r="AB160" s="222">
        <f t="shared" ref="AB160:AB162" si="211">V160</f>
        <v>0</v>
      </c>
      <c r="AC160" s="103">
        <v>5.5966525837132268E-3</v>
      </c>
      <c r="AD160" s="99">
        <f t="shared" si="209"/>
        <v>0</v>
      </c>
      <c r="AE160" s="99">
        <f t="shared" si="201"/>
        <v>0</v>
      </c>
      <c r="AF160" s="221">
        <f t="shared" si="210"/>
        <v>0</v>
      </c>
    </row>
    <row r="161" spans="2:32" x14ac:dyDescent="0.2">
      <c r="B161" s="223" t="s">
        <v>127</v>
      </c>
      <c r="C161" s="223" t="s">
        <v>70</v>
      </c>
      <c r="D161" s="106" t="s">
        <v>170</v>
      </c>
      <c r="E161" s="223" t="s">
        <v>161</v>
      </c>
      <c r="F161" s="223" t="s">
        <v>155</v>
      </c>
      <c r="G161" s="223" t="s">
        <v>164</v>
      </c>
      <c r="H161" s="223" t="s">
        <v>136</v>
      </c>
      <c r="I161" s="223"/>
      <c r="J161" s="107"/>
      <c r="K161" s="101">
        <f t="shared" si="169"/>
        <v>64</v>
      </c>
      <c r="L161" s="102"/>
      <c r="M161" s="104" t="s">
        <v>52</v>
      </c>
      <c r="N161" s="102" t="s">
        <v>82</v>
      </c>
      <c r="P161" s="95">
        <v>0</v>
      </c>
      <c r="Q161" s="103">
        <v>4.5700792346009432E-3</v>
      </c>
      <c r="R161" s="99">
        <f t="shared" si="204"/>
        <v>0</v>
      </c>
      <c r="S161" s="99">
        <f t="shared" si="194"/>
        <v>0</v>
      </c>
      <c r="T161" s="221">
        <f t="shared" si="205"/>
        <v>0</v>
      </c>
      <c r="V161" s="95">
        <v>0</v>
      </c>
      <c r="W161" s="103">
        <v>5.5966525837132268E-3</v>
      </c>
      <c r="X161" s="99">
        <f t="shared" si="206"/>
        <v>0</v>
      </c>
      <c r="Y161" s="99">
        <f t="shared" si="197"/>
        <v>0</v>
      </c>
      <c r="Z161" s="221">
        <f t="shared" si="207"/>
        <v>0</v>
      </c>
      <c r="AB161" s="222">
        <f t="shared" si="211"/>
        <v>0</v>
      </c>
      <c r="AC161" s="103">
        <v>5.5966525837132268E-3</v>
      </c>
      <c r="AD161" s="99">
        <f t="shared" si="209"/>
        <v>0</v>
      </c>
      <c r="AE161" s="99">
        <f t="shared" si="201"/>
        <v>0</v>
      </c>
      <c r="AF161" s="221">
        <f t="shared" si="210"/>
        <v>0</v>
      </c>
    </row>
    <row r="162" spans="2:32" x14ac:dyDescent="0.2">
      <c r="B162" s="223" t="s">
        <v>127</v>
      </c>
      <c r="C162" s="223" t="s">
        <v>70</v>
      </c>
      <c r="D162" s="106" t="s">
        <v>170</v>
      </c>
      <c r="E162" s="223" t="s">
        <v>161</v>
      </c>
      <c r="F162" s="223" t="s">
        <v>155</v>
      </c>
      <c r="G162" s="223" t="s">
        <v>164</v>
      </c>
      <c r="H162" s="223" t="s">
        <v>24</v>
      </c>
      <c r="I162" s="223"/>
      <c r="J162" s="107"/>
      <c r="K162" s="101">
        <f t="shared" si="169"/>
        <v>65</v>
      </c>
      <c r="L162" s="102"/>
      <c r="M162" s="104" t="s">
        <v>24</v>
      </c>
      <c r="N162" s="102" t="s">
        <v>82</v>
      </c>
      <c r="P162" s="95">
        <v>0</v>
      </c>
      <c r="Q162" s="103">
        <v>4.5700792346009432E-3</v>
      </c>
      <c r="R162" s="99">
        <f t="shared" si="204"/>
        <v>0</v>
      </c>
      <c r="S162" s="99">
        <f t="shared" si="194"/>
        <v>0</v>
      </c>
      <c r="T162" s="221">
        <f t="shared" si="205"/>
        <v>0</v>
      </c>
      <c r="V162" s="95">
        <v>0</v>
      </c>
      <c r="W162" s="103">
        <v>5.5966525837132268E-3</v>
      </c>
      <c r="X162" s="99">
        <f t="shared" si="206"/>
        <v>0</v>
      </c>
      <c r="Y162" s="99">
        <f t="shared" si="197"/>
        <v>0</v>
      </c>
      <c r="Z162" s="221">
        <f t="shared" si="207"/>
        <v>0</v>
      </c>
      <c r="AB162" s="222">
        <f t="shared" si="211"/>
        <v>0</v>
      </c>
      <c r="AC162" s="103">
        <v>5.5966525837132268E-3</v>
      </c>
      <c r="AD162" s="99">
        <f t="shared" si="209"/>
        <v>0</v>
      </c>
      <c r="AE162" s="99">
        <f t="shared" si="201"/>
        <v>0</v>
      </c>
      <c r="AF162" s="221">
        <f t="shared" si="210"/>
        <v>0</v>
      </c>
    </row>
    <row r="163" spans="2:32" x14ac:dyDescent="0.2">
      <c r="B163" s="223" t="s">
        <v>127</v>
      </c>
      <c r="C163" s="223" t="s">
        <v>70</v>
      </c>
      <c r="D163" s="106" t="s">
        <v>170</v>
      </c>
      <c r="E163" s="223"/>
      <c r="F163" s="223"/>
      <c r="G163" s="223"/>
      <c r="H163" s="223"/>
      <c r="I163" s="223"/>
      <c r="J163" s="107"/>
      <c r="K163" s="101">
        <f t="shared" si="169"/>
        <v>66</v>
      </c>
      <c r="L163" s="102"/>
      <c r="M163" s="102" t="s">
        <v>165</v>
      </c>
      <c r="N163" s="102"/>
      <c r="P163" s="95"/>
      <c r="Q163" s="98"/>
      <c r="V163" s="95"/>
      <c r="W163" s="98"/>
      <c r="AC163" s="98"/>
    </row>
    <row r="164" spans="2:32" x14ac:dyDescent="0.2">
      <c r="B164" s="223" t="s">
        <v>127</v>
      </c>
      <c r="C164" s="223" t="s">
        <v>70</v>
      </c>
      <c r="D164" s="106" t="s">
        <v>170</v>
      </c>
      <c r="E164" s="223" t="s">
        <v>161</v>
      </c>
      <c r="F164" s="223" t="s">
        <v>155</v>
      </c>
      <c r="G164" s="107" t="s">
        <v>166</v>
      </c>
      <c r="H164" s="223" t="s">
        <v>21</v>
      </c>
      <c r="I164" s="107"/>
      <c r="J164" s="107"/>
      <c r="K164" s="101">
        <f t="shared" si="169"/>
        <v>67</v>
      </c>
      <c r="L164" s="102"/>
      <c r="M164" s="104" t="s">
        <v>21</v>
      </c>
      <c r="N164" s="102" t="s">
        <v>82</v>
      </c>
      <c r="P164" s="95">
        <v>1901292.1282411702</v>
      </c>
      <c r="Q164" s="103">
        <v>6.0868951733920561E-3</v>
      </c>
      <c r="R164" s="99">
        <f t="shared" ref="R164:R168" si="212">P164*Q164</f>
        <v>11572.965878599489</v>
      </c>
      <c r="S164" s="99">
        <f t="shared" si="194"/>
        <v>338.79190265127903</v>
      </c>
      <c r="T164" s="221">
        <f t="shared" ref="T164:T168" si="213">S164+R164</f>
        <v>11911.757781250768</v>
      </c>
      <c r="V164" s="95">
        <v>1809737.9032419999</v>
      </c>
      <c r="W164" s="103">
        <v>7.0980861795213032E-3</v>
      </c>
      <c r="X164" s="99">
        <f t="shared" ref="X164:X168" si="214">V164*W164</f>
        <v>12845.675599557901</v>
      </c>
      <c r="Y164" s="99">
        <f t="shared" si="197"/>
        <v>376.04974583593889</v>
      </c>
      <c r="Z164" s="221">
        <f t="shared" ref="Z164:Z168" si="215">Y164+X164</f>
        <v>13221.725345393839</v>
      </c>
      <c r="AB164" s="222">
        <f t="shared" ref="AB164" si="216">V164</f>
        <v>1809737.9032419999</v>
      </c>
      <c r="AC164" s="103">
        <v>7.0980861795213032E-3</v>
      </c>
      <c r="AD164" s="99">
        <f t="shared" ref="AD164:AD168" si="217">AB164*AC164</f>
        <v>12845.675599557901</v>
      </c>
      <c r="AE164" s="99">
        <f t="shared" si="201"/>
        <v>376.04974583593889</v>
      </c>
      <c r="AF164" s="221">
        <f t="shared" ref="AF164:AF168" si="218">AE164+AD164</f>
        <v>13221.725345393839</v>
      </c>
    </row>
    <row r="165" spans="2:32" x14ac:dyDescent="0.2">
      <c r="B165" s="223" t="s">
        <v>127</v>
      </c>
      <c r="C165" s="223" t="s">
        <v>70</v>
      </c>
      <c r="D165" s="106" t="s">
        <v>170</v>
      </c>
      <c r="E165" s="223" t="s">
        <v>161</v>
      </c>
      <c r="F165" s="223" t="s">
        <v>155</v>
      </c>
      <c r="G165" s="107" t="s">
        <v>166</v>
      </c>
      <c r="H165" s="223" t="s">
        <v>22</v>
      </c>
      <c r="I165" s="223"/>
      <c r="J165" s="107"/>
      <c r="K165" s="101">
        <f t="shared" si="169"/>
        <v>68</v>
      </c>
      <c r="L165" s="102"/>
      <c r="M165" s="104" t="s">
        <v>22</v>
      </c>
      <c r="N165" s="102" t="s">
        <v>82</v>
      </c>
      <c r="P165" s="95">
        <v>58915.928271747434</v>
      </c>
      <c r="Q165" s="103">
        <v>6.0868951733920561E-3</v>
      </c>
      <c r="R165" s="99">
        <f t="shared" si="212"/>
        <v>358.61507943321203</v>
      </c>
      <c r="S165" s="99">
        <f t="shared" si="194"/>
        <v>10.498249658308021</v>
      </c>
      <c r="T165" s="221">
        <f t="shared" si="213"/>
        <v>369.11332909152003</v>
      </c>
      <c r="V165" s="95">
        <v>56811.808124749739</v>
      </c>
      <c r="W165" s="103">
        <v>7.0980861795213032E-3</v>
      </c>
      <c r="X165" s="99">
        <f t="shared" si="214"/>
        <v>403.2551100839022</v>
      </c>
      <c r="Y165" s="99">
        <f t="shared" si="197"/>
        <v>11.805060814342376</v>
      </c>
      <c r="Z165" s="221">
        <f t="shared" si="215"/>
        <v>415.06017089824456</v>
      </c>
      <c r="AB165" s="222">
        <f>V165</f>
        <v>56811.808124749739</v>
      </c>
      <c r="AC165" s="103">
        <v>7.0980861795213032E-3</v>
      </c>
      <c r="AD165" s="99">
        <f t="shared" si="217"/>
        <v>403.2551100839022</v>
      </c>
      <c r="AE165" s="99">
        <f t="shared" si="201"/>
        <v>11.805060814342376</v>
      </c>
      <c r="AF165" s="221">
        <f t="shared" si="218"/>
        <v>415.06017089824456</v>
      </c>
    </row>
    <row r="166" spans="2:32" x14ac:dyDescent="0.2">
      <c r="B166" s="223" t="s">
        <v>127</v>
      </c>
      <c r="C166" s="223" t="s">
        <v>70</v>
      </c>
      <c r="D166" s="106" t="s">
        <v>170</v>
      </c>
      <c r="E166" s="223" t="s">
        <v>161</v>
      </c>
      <c r="F166" s="223" t="s">
        <v>155</v>
      </c>
      <c r="G166" s="107" t="s">
        <v>166</v>
      </c>
      <c r="H166" s="223" t="s">
        <v>135</v>
      </c>
      <c r="I166" s="223"/>
      <c r="J166" s="107"/>
      <c r="K166" s="101">
        <f t="shared" si="169"/>
        <v>69</v>
      </c>
      <c r="L166" s="102"/>
      <c r="M166" s="104" t="s">
        <v>53</v>
      </c>
      <c r="N166" s="102" t="s">
        <v>82</v>
      </c>
      <c r="P166" s="95">
        <v>0</v>
      </c>
      <c r="Q166" s="103">
        <v>4.5700792346009432E-3</v>
      </c>
      <c r="R166" s="99">
        <f t="shared" si="212"/>
        <v>0</v>
      </c>
      <c r="S166" s="99">
        <f t="shared" si="194"/>
        <v>0</v>
      </c>
      <c r="T166" s="221">
        <f t="shared" si="213"/>
        <v>0</v>
      </c>
      <c r="V166" s="95">
        <v>0</v>
      </c>
      <c r="W166" s="103">
        <v>5.5966525837132268E-3</v>
      </c>
      <c r="X166" s="99">
        <f t="shared" si="214"/>
        <v>0</v>
      </c>
      <c r="Y166" s="99">
        <f t="shared" si="197"/>
        <v>0</v>
      </c>
      <c r="Z166" s="221">
        <f t="shared" si="215"/>
        <v>0</v>
      </c>
      <c r="AB166" s="222">
        <f t="shared" ref="AB166:AB168" si="219">V166</f>
        <v>0</v>
      </c>
      <c r="AC166" s="103">
        <v>5.5966525837132268E-3</v>
      </c>
      <c r="AD166" s="99">
        <f t="shared" si="217"/>
        <v>0</v>
      </c>
      <c r="AE166" s="99">
        <f t="shared" si="201"/>
        <v>0</v>
      </c>
      <c r="AF166" s="221">
        <f t="shared" si="218"/>
        <v>0</v>
      </c>
    </row>
    <row r="167" spans="2:32" x14ac:dyDescent="0.2">
      <c r="B167" s="223" t="s">
        <v>127</v>
      </c>
      <c r="C167" s="223" t="s">
        <v>70</v>
      </c>
      <c r="D167" s="106" t="s">
        <v>170</v>
      </c>
      <c r="E167" s="223" t="s">
        <v>161</v>
      </c>
      <c r="F167" s="223" t="s">
        <v>155</v>
      </c>
      <c r="G167" s="107" t="s">
        <v>166</v>
      </c>
      <c r="H167" s="223" t="s">
        <v>136</v>
      </c>
      <c r="I167" s="223"/>
      <c r="J167" s="107"/>
      <c r="K167" s="101">
        <f t="shared" si="169"/>
        <v>70</v>
      </c>
      <c r="L167" s="102"/>
      <c r="M167" s="104" t="s">
        <v>52</v>
      </c>
      <c r="N167" s="102" t="s">
        <v>82</v>
      </c>
      <c r="P167" s="95">
        <v>0</v>
      </c>
      <c r="Q167" s="103">
        <v>4.5700792346009432E-3</v>
      </c>
      <c r="R167" s="99">
        <f t="shared" si="212"/>
        <v>0</v>
      </c>
      <c r="S167" s="99">
        <f t="shared" si="194"/>
        <v>0</v>
      </c>
      <c r="T167" s="221">
        <f t="shared" si="213"/>
        <v>0</v>
      </c>
      <c r="V167" s="95">
        <v>0</v>
      </c>
      <c r="W167" s="103">
        <v>5.5966525837132268E-3</v>
      </c>
      <c r="X167" s="99">
        <f t="shared" si="214"/>
        <v>0</v>
      </c>
      <c r="Y167" s="99">
        <f t="shared" si="197"/>
        <v>0</v>
      </c>
      <c r="Z167" s="221">
        <f t="shared" si="215"/>
        <v>0</v>
      </c>
      <c r="AB167" s="222">
        <f t="shared" si="219"/>
        <v>0</v>
      </c>
      <c r="AC167" s="103">
        <v>5.5966525837132268E-3</v>
      </c>
      <c r="AD167" s="99">
        <f t="shared" si="217"/>
        <v>0</v>
      </c>
      <c r="AE167" s="99">
        <f t="shared" si="201"/>
        <v>0</v>
      </c>
      <c r="AF167" s="221">
        <f t="shared" si="218"/>
        <v>0</v>
      </c>
    </row>
    <row r="168" spans="2:32" x14ac:dyDescent="0.2">
      <c r="B168" s="223" t="s">
        <v>127</v>
      </c>
      <c r="C168" s="223" t="s">
        <v>70</v>
      </c>
      <c r="D168" s="106" t="s">
        <v>170</v>
      </c>
      <c r="E168" s="223" t="s">
        <v>161</v>
      </c>
      <c r="F168" s="223" t="s">
        <v>155</v>
      </c>
      <c r="G168" s="107" t="s">
        <v>166</v>
      </c>
      <c r="H168" s="223" t="s">
        <v>24</v>
      </c>
      <c r="I168" s="223"/>
      <c r="J168" s="107"/>
      <c r="K168" s="101">
        <f t="shared" si="169"/>
        <v>71</v>
      </c>
      <c r="L168" s="102"/>
      <c r="M168" s="104" t="s">
        <v>24</v>
      </c>
      <c r="N168" s="102" t="s">
        <v>82</v>
      </c>
      <c r="P168" s="95">
        <v>0</v>
      </c>
      <c r="Q168" s="103">
        <v>4.5700792346009432E-3</v>
      </c>
      <c r="R168" s="99">
        <f t="shared" si="212"/>
        <v>0</v>
      </c>
      <c r="S168" s="99">
        <f t="shared" si="194"/>
        <v>0</v>
      </c>
      <c r="T168" s="221">
        <f t="shared" si="213"/>
        <v>0</v>
      </c>
      <c r="V168" s="95">
        <v>0</v>
      </c>
      <c r="W168" s="103">
        <v>5.5966525837132268E-3</v>
      </c>
      <c r="X168" s="99">
        <f t="shared" si="214"/>
        <v>0</v>
      </c>
      <c r="Y168" s="99">
        <f t="shared" si="197"/>
        <v>0</v>
      </c>
      <c r="Z168" s="221">
        <f t="shared" si="215"/>
        <v>0</v>
      </c>
      <c r="AB168" s="222">
        <f t="shared" si="219"/>
        <v>0</v>
      </c>
      <c r="AC168" s="103">
        <v>5.5966525837132268E-3</v>
      </c>
      <c r="AD168" s="99">
        <f t="shared" si="217"/>
        <v>0</v>
      </c>
      <c r="AE168" s="99">
        <f t="shared" si="201"/>
        <v>0</v>
      </c>
      <c r="AF168" s="221">
        <f t="shared" si="218"/>
        <v>0</v>
      </c>
    </row>
    <row r="169" spans="2:32" x14ac:dyDescent="0.2">
      <c r="B169" s="223" t="s">
        <v>127</v>
      </c>
      <c r="C169" s="223" t="s">
        <v>70</v>
      </c>
      <c r="D169" s="106" t="s">
        <v>170</v>
      </c>
      <c r="E169" s="223"/>
      <c r="F169" s="223"/>
      <c r="G169" s="223"/>
      <c r="H169" s="223"/>
      <c r="I169" s="223"/>
      <c r="J169" s="107"/>
      <c r="K169" s="101">
        <f t="shared" si="169"/>
        <v>72</v>
      </c>
      <c r="L169" s="102"/>
      <c r="M169" s="102" t="s">
        <v>167</v>
      </c>
      <c r="N169" s="102"/>
      <c r="P169" s="95"/>
      <c r="Q169" s="98"/>
      <c r="V169" s="95"/>
      <c r="W169" s="98"/>
      <c r="AC169" s="98"/>
    </row>
    <row r="170" spans="2:32" x14ac:dyDescent="0.2">
      <c r="B170" s="223" t="s">
        <v>127</v>
      </c>
      <c r="C170" s="223" t="s">
        <v>70</v>
      </c>
      <c r="D170" s="106" t="s">
        <v>170</v>
      </c>
      <c r="E170" s="223" t="s">
        <v>161</v>
      </c>
      <c r="F170" s="223" t="s">
        <v>157</v>
      </c>
      <c r="G170" s="223" t="s">
        <v>162</v>
      </c>
      <c r="H170" s="223" t="s">
        <v>21</v>
      </c>
      <c r="I170" s="223"/>
      <c r="J170" s="107"/>
      <c r="K170" s="101">
        <f t="shared" si="169"/>
        <v>73</v>
      </c>
      <c r="L170" s="102"/>
      <c r="M170" s="104" t="s">
        <v>21</v>
      </c>
      <c r="N170" s="102" t="s">
        <v>82</v>
      </c>
      <c r="P170" s="95">
        <v>1791336.9729897876</v>
      </c>
      <c r="Q170" s="103">
        <v>6.0868951733920561E-3</v>
      </c>
      <c r="R170" s="99">
        <f t="shared" ref="R170:R174" si="220">P170*Q170</f>
        <v>10903.680374810274</v>
      </c>
      <c r="S170" s="99">
        <f t="shared" si="194"/>
        <v>319.19895546520229</v>
      </c>
      <c r="T170" s="221">
        <f t="shared" ref="T170:T174" si="221">S170+R170</f>
        <v>11222.879330275477</v>
      </c>
      <c r="V170" s="95">
        <v>1766061.1668069677</v>
      </c>
      <c r="W170" s="103">
        <v>7.0980861795213032E-3</v>
      </c>
      <c r="X170" s="99">
        <f t="shared" ref="X170:X174" si="222">V170*W170</f>
        <v>12535.654360301804</v>
      </c>
      <c r="Y170" s="99">
        <f t="shared" si="197"/>
        <v>366.97405282762327</v>
      </c>
      <c r="Z170" s="221">
        <f t="shared" ref="Z170:Z174" si="223">Y170+X170</f>
        <v>12902.628413129427</v>
      </c>
      <c r="AB170" s="222">
        <f t="shared" ref="AB170" si="224">V170</f>
        <v>1766061.1668069677</v>
      </c>
      <c r="AC170" s="103">
        <v>7.0980861795213032E-3</v>
      </c>
      <c r="AD170" s="99">
        <f t="shared" ref="AD170:AD174" si="225">AB170*AC170</f>
        <v>12535.654360301804</v>
      </c>
      <c r="AE170" s="99">
        <f t="shared" si="201"/>
        <v>366.97405282762327</v>
      </c>
      <c r="AF170" s="221">
        <f t="shared" ref="AF170:AF174" si="226">AE170+AD170</f>
        <v>12902.628413129427</v>
      </c>
    </row>
    <row r="171" spans="2:32" x14ac:dyDescent="0.2">
      <c r="B171" s="223" t="s">
        <v>127</v>
      </c>
      <c r="C171" s="223" t="s">
        <v>70</v>
      </c>
      <c r="D171" s="106" t="s">
        <v>170</v>
      </c>
      <c r="E171" s="223" t="s">
        <v>161</v>
      </c>
      <c r="F171" s="223" t="s">
        <v>157</v>
      </c>
      <c r="G171" s="223" t="s">
        <v>162</v>
      </c>
      <c r="H171" s="223" t="s">
        <v>22</v>
      </c>
      <c r="I171" s="223"/>
      <c r="J171" s="107"/>
      <c r="K171" s="101">
        <f t="shared" si="169"/>
        <v>74</v>
      </c>
      <c r="L171" s="102"/>
      <c r="M171" s="104" t="s">
        <v>22</v>
      </c>
      <c r="N171" s="102" t="s">
        <v>82</v>
      </c>
      <c r="P171" s="95">
        <v>76811.937813286408</v>
      </c>
      <c r="Q171" s="103">
        <v>6.0868951733920561E-3</v>
      </c>
      <c r="R171" s="99">
        <f t="shared" si="220"/>
        <v>467.54621353458379</v>
      </c>
      <c r="S171" s="99">
        <f t="shared" si="194"/>
        <v>13.687145794985428</v>
      </c>
      <c r="T171" s="221">
        <f t="shared" si="221"/>
        <v>481.23335932956923</v>
      </c>
      <c r="V171" s="95">
        <v>76566.002569126693</v>
      </c>
      <c r="W171" s="103">
        <v>7.0980861795213032E-3</v>
      </c>
      <c r="X171" s="99">
        <f t="shared" si="222"/>
        <v>543.47208465711083</v>
      </c>
      <c r="Y171" s="99">
        <f t="shared" si="197"/>
        <v>15.909831890139598</v>
      </c>
      <c r="Z171" s="221">
        <f t="shared" si="223"/>
        <v>559.3819165472504</v>
      </c>
      <c r="AB171" s="222">
        <f>V171</f>
        <v>76566.002569126693</v>
      </c>
      <c r="AC171" s="103">
        <v>7.0980861795213032E-3</v>
      </c>
      <c r="AD171" s="99">
        <f t="shared" si="225"/>
        <v>543.47208465711083</v>
      </c>
      <c r="AE171" s="99">
        <f t="shared" si="201"/>
        <v>15.909831890139598</v>
      </c>
      <c r="AF171" s="221">
        <f t="shared" si="226"/>
        <v>559.3819165472504</v>
      </c>
    </row>
    <row r="172" spans="2:32" x14ac:dyDescent="0.2">
      <c r="B172" s="223" t="s">
        <v>127</v>
      </c>
      <c r="C172" s="223" t="s">
        <v>70</v>
      </c>
      <c r="D172" s="106" t="s">
        <v>170</v>
      </c>
      <c r="E172" s="223" t="s">
        <v>161</v>
      </c>
      <c r="F172" s="223" t="s">
        <v>157</v>
      </c>
      <c r="G172" s="223" t="s">
        <v>162</v>
      </c>
      <c r="H172" s="223" t="s">
        <v>135</v>
      </c>
      <c r="I172" s="223"/>
      <c r="J172" s="107"/>
      <c r="K172" s="101">
        <f t="shared" si="169"/>
        <v>75</v>
      </c>
      <c r="L172" s="102"/>
      <c r="M172" s="104" t="s">
        <v>53</v>
      </c>
      <c r="N172" s="102" t="s">
        <v>82</v>
      </c>
      <c r="P172" s="95">
        <v>0</v>
      </c>
      <c r="Q172" s="103">
        <v>4.5700792346009432E-3</v>
      </c>
      <c r="R172" s="99">
        <f t="shared" si="220"/>
        <v>0</v>
      </c>
      <c r="S172" s="99">
        <f t="shared" si="194"/>
        <v>0</v>
      </c>
      <c r="T172" s="221">
        <f t="shared" si="221"/>
        <v>0</v>
      </c>
      <c r="V172" s="95">
        <v>0</v>
      </c>
      <c r="W172" s="103">
        <v>5.5966525837132268E-3</v>
      </c>
      <c r="X172" s="99">
        <f t="shared" si="222"/>
        <v>0</v>
      </c>
      <c r="Y172" s="99">
        <f t="shared" si="197"/>
        <v>0</v>
      </c>
      <c r="Z172" s="221">
        <f t="shared" si="223"/>
        <v>0</v>
      </c>
      <c r="AB172" s="222">
        <f t="shared" ref="AB172:AB174" si="227">V172</f>
        <v>0</v>
      </c>
      <c r="AC172" s="103">
        <v>5.5966525837132268E-3</v>
      </c>
      <c r="AD172" s="99">
        <f t="shared" si="225"/>
        <v>0</v>
      </c>
      <c r="AE172" s="99">
        <f t="shared" si="201"/>
        <v>0</v>
      </c>
      <c r="AF172" s="221">
        <f t="shared" si="226"/>
        <v>0</v>
      </c>
    </row>
    <row r="173" spans="2:32" x14ac:dyDescent="0.2">
      <c r="B173" s="223" t="s">
        <v>127</v>
      </c>
      <c r="C173" s="223" t="s">
        <v>70</v>
      </c>
      <c r="D173" s="106" t="s">
        <v>170</v>
      </c>
      <c r="E173" s="223" t="s">
        <v>161</v>
      </c>
      <c r="F173" s="223" t="s">
        <v>157</v>
      </c>
      <c r="G173" s="223" t="s">
        <v>162</v>
      </c>
      <c r="H173" s="223" t="s">
        <v>136</v>
      </c>
      <c r="I173" s="223"/>
      <c r="J173" s="107"/>
      <c r="K173" s="101">
        <f t="shared" si="169"/>
        <v>76</v>
      </c>
      <c r="L173" s="102"/>
      <c r="M173" s="104" t="s">
        <v>52</v>
      </c>
      <c r="N173" s="102" t="s">
        <v>82</v>
      </c>
      <c r="P173" s="95">
        <v>0</v>
      </c>
      <c r="Q173" s="103">
        <v>4.5700792346009432E-3</v>
      </c>
      <c r="R173" s="99">
        <f t="shared" si="220"/>
        <v>0</v>
      </c>
      <c r="S173" s="99">
        <f t="shared" si="194"/>
        <v>0</v>
      </c>
      <c r="T173" s="221">
        <f t="shared" si="221"/>
        <v>0</v>
      </c>
      <c r="V173" s="95">
        <v>0</v>
      </c>
      <c r="W173" s="103">
        <v>5.5966525837132268E-3</v>
      </c>
      <c r="X173" s="99">
        <f t="shared" si="222"/>
        <v>0</v>
      </c>
      <c r="Y173" s="99">
        <f t="shared" si="197"/>
        <v>0</v>
      </c>
      <c r="Z173" s="221">
        <f t="shared" si="223"/>
        <v>0</v>
      </c>
      <c r="AB173" s="222">
        <f t="shared" si="227"/>
        <v>0</v>
      </c>
      <c r="AC173" s="103">
        <v>5.5966525837132268E-3</v>
      </c>
      <c r="AD173" s="99">
        <f t="shared" si="225"/>
        <v>0</v>
      </c>
      <c r="AE173" s="99">
        <f t="shared" si="201"/>
        <v>0</v>
      </c>
      <c r="AF173" s="221">
        <f t="shared" si="226"/>
        <v>0</v>
      </c>
    </row>
    <row r="174" spans="2:32" x14ac:dyDescent="0.2">
      <c r="B174" s="223" t="s">
        <v>127</v>
      </c>
      <c r="C174" s="223" t="s">
        <v>70</v>
      </c>
      <c r="D174" s="106" t="s">
        <v>170</v>
      </c>
      <c r="E174" s="223" t="s">
        <v>161</v>
      </c>
      <c r="F174" s="223" t="s">
        <v>157</v>
      </c>
      <c r="G174" s="223" t="s">
        <v>162</v>
      </c>
      <c r="H174" s="223" t="s">
        <v>24</v>
      </c>
      <c r="I174" s="223"/>
      <c r="J174" s="107"/>
      <c r="K174" s="101">
        <f t="shared" si="169"/>
        <v>77</v>
      </c>
      <c r="L174" s="102"/>
      <c r="M174" s="104" t="s">
        <v>24</v>
      </c>
      <c r="N174" s="102" t="s">
        <v>82</v>
      </c>
      <c r="P174" s="95">
        <v>0</v>
      </c>
      <c r="Q174" s="103">
        <v>4.5700792346009432E-3</v>
      </c>
      <c r="R174" s="99">
        <f t="shared" si="220"/>
        <v>0</v>
      </c>
      <c r="S174" s="99">
        <f t="shared" si="194"/>
        <v>0</v>
      </c>
      <c r="T174" s="221">
        <f t="shared" si="221"/>
        <v>0</v>
      </c>
      <c r="V174" s="95">
        <v>0</v>
      </c>
      <c r="W174" s="103">
        <v>5.5966525837132268E-3</v>
      </c>
      <c r="X174" s="99">
        <f t="shared" si="222"/>
        <v>0</v>
      </c>
      <c r="Y174" s="99">
        <f t="shared" si="197"/>
        <v>0</v>
      </c>
      <c r="Z174" s="221">
        <f t="shared" si="223"/>
        <v>0</v>
      </c>
      <c r="AB174" s="222">
        <f t="shared" si="227"/>
        <v>0</v>
      </c>
      <c r="AC174" s="103">
        <v>5.5966525837132268E-3</v>
      </c>
      <c r="AD174" s="99">
        <f t="shared" si="225"/>
        <v>0</v>
      </c>
      <c r="AE174" s="99">
        <f t="shared" si="201"/>
        <v>0</v>
      </c>
      <c r="AF174" s="221">
        <f t="shared" si="226"/>
        <v>0</v>
      </c>
    </row>
    <row r="175" spans="2:32" x14ac:dyDescent="0.2">
      <c r="B175" s="223" t="s">
        <v>127</v>
      </c>
      <c r="C175" s="223" t="s">
        <v>70</v>
      </c>
      <c r="D175" s="106" t="s">
        <v>170</v>
      </c>
      <c r="E175" s="223"/>
      <c r="F175" s="223"/>
      <c r="G175" s="223"/>
      <c r="H175" s="223"/>
      <c r="I175" s="223"/>
      <c r="J175" s="107"/>
      <c r="K175" s="101">
        <f t="shared" si="169"/>
        <v>78</v>
      </c>
      <c r="L175" s="102"/>
      <c r="M175" s="102" t="s">
        <v>168</v>
      </c>
      <c r="N175" s="102"/>
      <c r="P175" s="95"/>
      <c r="Q175" s="98"/>
      <c r="V175" s="95"/>
      <c r="W175" s="98"/>
      <c r="AC175" s="98"/>
    </row>
    <row r="176" spans="2:32" x14ac:dyDescent="0.2">
      <c r="B176" s="223" t="s">
        <v>127</v>
      </c>
      <c r="C176" s="223" t="s">
        <v>70</v>
      </c>
      <c r="D176" s="106" t="s">
        <v>170</v>
      </c>
      <c r="E176" s="223" t="s">
        <v>161</v>
      </c>
      <c r="F176" s="223" t="s">
        <v>157</v>
      </c>
      <c r="G176" s="223" t="s">
        <v>164</v>
      </c>
      <c r="H176" s="223" t="s">
        <v>21</v>
      </c>
      <c r="I176" s="223"/>
      <c r="J176" s="107"/>
      <c r="K176" s="101">
        <f t="shared" si="169"/>
        <v>79</v>
      </c>
      <c r="L176" s="102"/>
      <c r="M176" s="104" t="s">
        <v>21</v>
      </c>
      <c r="N176" s="102" t="s">
        <v>82</v>
      </c>
      <c r="P176" s="95">
        <v>3292741.7754332111</v>
      </c>
      <c r="Q176" s="103">
        <v>6.0868951733920561E-3</v>
      </c>
      <c r="R176" s="99">
        <f t="shared" ref="R176:R180" si="228">P176*Q176</f>
        <v>20042.574020110802</v>
      </c>
      <c r="S176" s="99">
        <f t="shared" si="194"/>
        <v>586.7347970721022</v>
      </c>
      <c r="T176" s="221">
        <f t="shared" ref="T176:T180" si="229">S176+R176</f>
        <v>20629.308817182904</v>
      </c>
      <c r="V176" s="95">
        <v>3222763.6155634616</v>
      </c>
      <c r="W176" s="103">
        <v>7.0980861795213032E-3</v>
      </c>
      <c r="X176" s="99">
        <f t="shared" ref="X176:X180" si="230">V176*W176</f>
        <v>22875.453879495111</v>
      </c>
      <c r="Y176" s="99">
        <f t="shared" si="197"/>
        <v>669.66572140136702</v>
      </c>
      <c r="Z176" s="221">
        <f t="shared" ref="Z176:Z180" si="231">Y176+X176</f>
        <v>23545.11960089648</v>
      </c>
      <c r="AB176" s="222">
        <f t="shared" ref="AB176" si="232">V176</f>
        <v>3222763.6155634616</v>
      </c>
      <c r="AC176" s="103">
        <v>7.0980861795213032E-3</v>
      </c>
      <c r="AD176" s="99">
        <f t="shared" ref="AD176:AD180" si="233">AB176*AC176</f>
        <v>22875.453879495111</v>
      </c>
      <c r="AE176" s="99">
        <f t="shared" si="201"/>
        <v>669.66572140136702</v>
      </c>
      <c r="AF176" s="221">
        <f t="shared" ref="AF176:AF180" si="234">AE176+AD176</f>
        <v>23545.11960089648</v>
      </c>
    </row>
    <row r="177" spans="2:32" x14ac:dyDescent="0.2">
      <c r="B177" s="223" t="s">
        <v>127</v>
      </c>
      <c r="C177" s="223" t="s">
        <v>70</v>
      </c>
      <c r="D177" s="106" t="s">
        <v>170</v>
      </c>
      <c r="E177" s="223" t="s">
        <v>161</v>
      </c>
      <c r="F177" s="223" t="s">
        <v>157</v>
      </c>
      <c r="G177" s="223" t="s">
        <v>164</v>
      </c>
      <c r="H177" s="223" t="s">
        <v>22</v>
      </c>
      <c r="I177" s="223"/>
      <c r="J177" s="107"/>
      <c r="K177" s="101">
        <f t="shared" si="169"/>
        <v>80</v>
      </c>
      <c r="L177" s="102"/>
      <c r="M177" s="104" t="s">
        <v>22</v>
      </c>
      <c r="N177" s="102" t="s">
        <v>82</v>
      </c>
      <c r="P177" s="95">
        <v>140454.15292717668</v>
      </c>
      <c r="Q177" s="103">
        <v>6.0868951733920561E-3</v>
      </c>
      <c r="R177" s="99">
        <f t="shared" si="228"/>
        <v>854.92970553530142</v>
      </c>
      <c r="S177" s="99">
        <f t="shared" si="194"/>
        <v>25.027574142165697</v>
      </c>
      <c r="T177" s="221">
        <f t="shared" si="229"/>
        <v>879.95727967746711</v>
      </c>
      <c r="V177" s="95">
        <v>140004.44904810836</v>
      </c>
      <c r="W177" s="103">
        <v>7.0980861795213032E-3</v>
      </c>
      <c r="X177" s="99">
        <f t="shared" si="230"/>
        <v>993.76364485987244</v>
      </c>
      <c r="Y177" s="99">
        <f t="shared" si="197"/>
        <v>29.091857658573659</v>
      </c>
      <c r="Z177" s="221">
        <f t="shared" si="231"/>
        <v>1022.8555025184461</v>
      </c>
      <c r="AB177" s="222">
        <f>V177</f>
        <v>140004.44904810836</v>
      </c>
      <c r="AC177" s="103">
        <v>7.0980861795213032E-3</v>
      </c>
      <c r="AD177" s="99">
        <f t="shared" si="233"/>
        <v>993.76364485987244</v>
      </c>
      <c r="AE177" s="99">
        <f t="shared" si="201"/>
        <v>29.091857658573659</v>
      </c>
      <c r="AF177" s="221">
        <f t="shared" si="234"/>
        <v>1022.8555025184461</v>
      </c>
    </row>
    <row r="178" spans="2:32" x14ac:dyDescent="0.2">
      <c r="B178" s="223" t="s">
        <v>127</v>
      </c>
      <c r="C178" s="223" t="s">
        <v>70</v>
      </c>
      <c r="D178" s="106" t="s">
        <v>170</v>
      </c>
      <c r="E178" s="223" t="s">
        <v>161</v>
      </c>
      <c r="F178" s="223" t="s">
        <v>157</v>
      </c>
      <c r="G178" s="223" t="s">
        <v>164</v>
      </c>
      <c r="H178" s="223" t="s">
        <v>135</v>
      </c>
      <c r="I178" s="223"/>
      <c r="J178" s="107"/>
      <c r="K178" s="101">
        <f t="shared" si="169"/>
        <v>81</v>
      </c>
      <c r="L178" s="102"/>
      <c r="M178" s="104" t="s">
        <v>53</v>
      </c>
      <c r="N178" s="102" t="s">
        <v>82</v>
      </c>
      <c r="P178" s="95">
        <v>0</v>
      </c>
      <c r="Q178" s="103">
        <v>4.5700792346009432E-3</v>
      </c>
      <c r="R178" s="99">
        <f t="shared" si="228"/>
        <v>0</v>
      </c>
      <c r="S178" s="99">
        <f t="shared" si="194"/>
        <v>0</v>
      </c>
      <c r="T178" s="221">
        <f t="shared" si="229"/>
        <v>0</v>
      </c>
      <c r="V178" s="95">
        <v>0</v>
      </c>
      <c r="W178" s="103">
        <v>5.5966525837132268E-3</v>
      </c>
      <c r="X178" s="99">
        <f t="shared" si="230"/>
        <v>0</v>
      </c>
      <c r="Y178" s="99">
        <f t="shared" si="197"/>
        <v>0</v>
      </c>
      <c r="Z178" s="221">
        <f t="shared" si="231"/>
        <v>0</v>
      </c>
      <c r="AB178" s="222">
        <f t="shared" ref="AB178:AB180" si="235">V178</f>
        <v>0</v>
      </c>
      <c r="AC178" s="103">
        <v>5.5966525837132268E-3</v>
      </c>
      <c r="AD178" s="99">
        <f t="shared" si="233"/>
        <v>0</v>
      </c>
      <c r="AE178" s="99">
        <f t="shared" si="201"/>
        <v>0</v>
      </c>
      <c r="AF178" s="221">
        <f t="shared" si="234"/>
        <v>0</v>
      </c>
    </row>
    <row r="179" spans="2:32" x14ac:dyDescent="0.2">
      <c r="B179" s="223" t="s">
        <v>127</v>
      </c>
      <c r="C179" s="223" t="s">
        <v>70</v>
      </c>
      <c r="D179" s="106" t="s">
        <v>170</v>
      </c>
      <c r="E179" s="223" t="s">
        <v>161</v>
      </c>
      <c r="F179" s="223" t="s">
        <v>157</v>
      </c>
      <c r="G179" s="223" t="s">
        <v>164</v>
      </c>
      <c r="H179" s="223" t="s">
        <v>136</v>
      </c>
      <c r="I179" s="223"/>
      <c r="J179" s="107"/>
      <c r="K179" s="101">
        <f t="shared" si="169"/>
        <v>82</v>
      </c>
      <c r="L179" s="102"/>
      <c r="M179" s="104" t="s">
        <v>52</v>
      </c>
      <c r="N179" s="102" t="s">
        <v>82</v>
      </c>
      <c r="P179" s="95">
        <v>0</v>
      </c>
      <c r="Q179" s="103">
        <v>4.5700792346009432E-3</v>
      </c>
      <c r="R179" s="99">
        <f t="shared" si="228"/>
        <v>0</v>
      </c>
      <c r="S179" s="99">
        <f t="shared" si="194"/>
        <v>0</v>
      </c>
      <c r="T179" s="221">
        <f t="shared" si="229"/>
        <v>0</v>
      </c>
      <c r="V179" s="95">
        <v>0</v>
      </c>
      <c r="W179" s="103">
        <v>5.5966525837132268E-3</v>
      </c>
      <c r="X179" s="99">
        <f t="shared" si="230"/>
        <v>0</v>
      </c>
      <c r="Y179" s="99">
        <f t="shared" si="197"/>
        <v>0</v>
      </c>
      <c r="Z179" s="221">
        <f t="shared" si="231"/>
        <v>0</v>
      </c>
      <c r="AB179" s="222">
        <f t="shared" si="235"/>
        <v>0</v>
      </c>
      <c r="AC179" s="103">
        <v>5.5966525837132268E-3</v>
      </c>
      <c r="AD179" s="99">
        <f t="shared" si="233"/>
        <v>0</v>
      </c>
      <c r="AE179" s="99">
        <f t="shared" si="201"/>
        <v>0</v>
      </c>
      <c r="AF179" s="221">
        <f t="shared" si="234"/>
        <v>0</v>
      </c>
    </row>
    <row r="180" spans="2:32" x14ac:dyDescent="0.2">
      <c r="B180" s="223" t="s">
        <v>127</v>
      </c>
      <c r="C180" s="223" t="s">
        <v>70</v>
      </c>
      <c r="D180" s="106" t="s">
        <v>170</v>
      </c>
      <c r="E180" s="223" t="s">
        <v>161</v>
      </c>
      <c r="F180" s="223" t="s">
        <v>157</v>
      </c>
      <c r="G180" s="223" t="s">
        <v>164</v>
      </c>
      <c r="H180" s="223" t="s">
        <v>24</v>
      </c>
      <c r="I180" s="223"/>
      <c r="J180" s="107"/>
      <c r="K180" s="101">
        <f t="shared" si="169"/>
        <v>83</v>
      </c>
      <c r="L180" s="102"/>
      <c r="M180" s="104" t="s">
        <v>24</v>
      </c>
      <c r="N180" s="102" t="s">
        <v>82</v>
      </c>
      <c r="P180" s="95">
        <v>0</v>
      </c>
      <c r="Q180" s="103">
        <v>4.5700792346009432E-3</v>
      </c>
      <c r="R180" s="99">
        <f t="shared" si="228"/>
        <v>0</v>
      </c>
      <c r="S180" s="99">
        <f t="shared" si="194"/>
        <v>0</v>
      </c>
      <c r="T180" s="221">
        <f t="shared" si="229"/>
        <v>0</v>
      </c>
      <c r="V180" s="95">
        <v>0</v>
      </c>
      <c r="W180" s="103">
        <v>5.5966525837132268E-3</v>
      </c>
      <c r="X180" s="99">
        <f t="shared" si="230"/>
        <v>0</v>
      </c>
      <c r="Y180" s="99">
        <f t="shared" si="197"/>
        <v>0</v>
      </c>
      <c r="Z180" s="221">
        <f t="shared" si="231"/>
        <v>0</v>
      </c>
      <c r="AB180" s="222">
        <f t="shared" si="235"/>
        <v>0</v>
      </c>
      <c r="AC180" s="103">
        <v>5.5966525837132268E-3</v>
      </c>
      <c r="AD180" s="99">
        <f t="shared" si="233"/>
        <v>0</v>
      </c>
      <c r="AE180" s="99">
        <f t="shared" si="201"/>
        <v>0</v>
      </c>
      <c r="AF180" s="221">
        <f t="shared" si="234"/>
        <v>0</v>
      </c>
    </row>
    <row r="181" spans="2:32" x14ac:dyDescent="0.2">
      <c r="B181" s="223" t="s">
        <v>127</v>
      </c>
      <c r="C181" s="223" t="s">
        <v>70</v>
      </c>
      <c r="D181" s="106" t="s">
        <v>170</v>
      </c>
      <c r="E181" s="223"/>
      <c r="F181" s="223"/>
      <c r="G181" s="223"/>
      <c r="H181" s="223"/>
      <c r="I181" s="223"/>
      <c r="J181" s="107"/>
      <c r="K181" s="101">
        <f t="shared" si="169"/>
        <v>84</v>
      </c>
      <c r="L181" s="102"/>
      <c r="M181" s="102" t="s">
        <v>169</v>
      </c>
      <c r="N181" s="102"/>
      <c r="P181" s="95"/>
      <c r="Q181" s="98"/>
      <c r="V181" s="95"/>
      <c r="W181" s="98"/>
      <c r="AC181" s="98"/>
    </row>
    <row r="182" spans="2:32" x14ac:dyDescent="0.2">
      <c r="B182" s="223" t="s">
        <v>127</v>
      </c>
      <c r="C182" s="223" t="s">
        <v>70</v>
      </c>
      <c r="D182" s="106" t="s">
        <v>170</v>
      </c>
      <c r="E182" s="223" t="s">
        <v>161</v>
      </c>
      <c r="F182" s="223" t="s">
        <v>157</v>
      </c>
      <c r="G182" s="107" t="s">
        <v>166</v>
      </c>
      <c r="H182" s="223" t="s">
        <v>21</v>
      </c>
      <c r="I182" s="223"/>
      <c r="J182" s="107"/>
      <c r="K182" s="101">
        <f t="shared" si="169"/>
        <v>85</v>
      </c>
      <c r="L182" s="102"/>
      <c r="M182" s="104" t="s">
        <v>21</v>
      </c>
      <c r="N182" s="102" t="s">
        <v>82</v>
      </c>
      <c r="P182" s="95">
        <v>2760133.0209921515</v>
      </c>
      <c r="Q182" s="103">
        <v>6.0868951733920561E-3</v>
      </c>
      <c r="R182" s="99">
        <f t="shared" ref="R182:R186" si="236">P182*Q182</f>
        <v>16800.64036339716</v>
      </c>
      <c r="S182" s="99">
        <f t="shared" si="194"/>
        <v>491.82905870314482</v>
      </c>
      <c r="T182" s="221">
        <f t="shared" ref="T182:T186" si="237">S182+R182</f>
        <v>17292.469422100305</v>
      </c>
      <c r="V182" s="95">
        <v>2713449.6524917488</v>
      </c>
      <c r="W182" s="103">
        <v>7.0980861795213032E-3</v>
      </c>
      <c r="X182" s="99">
        <f t="shared" ref="X182:X186" si="238">V182*W182</f>
        <v>19260.299477178563</v>
      </c>
      <c r="Y182" s="99">
        <f t="shared" si="197"/>
        <v>563.83416091920742</v>
      </c>
      <c r="Z182" s="221">
        <f t="shared" ref="Z182:Z186" si="239">Y182+X182</f>
        <v>19824.13363809777</v>
      </c>
      <c r="AB182" s="222">
        <f t="shared" ref="AB182" si="240">V182</f>
        <v>2713449.6524917488</v>
      </c>
      <c r="AC182" s="103">
        <v>7.0980861795213032E-3</v>
      </c>
      <c r="AD182" s="99">
        <f t="shared" ref="AD182:AD186" si="241">AB182*AC182</f>
        <v>19260.299477178563</v>
      </c>
      <c r="AE182" s="99">
        <f t="shared" si="201"/>
        <v>563.83416091920742</v>
      </c>
      <c r="AF182" s="221">
        <f t="shared" ref="AF182:AF186" si="242">AE182+AD182</f>
        <v>19824.13363809777</v>
      </c>
    </row>
    <row r="183" spans="2:32" x14ac:dyDescent="0.2">
      <c r="B183" s="223" t="s">
        <v>127</v>
      </c>
      <c r="C183" s="223" t="s">
        <v>70</v>
      </c>
      <c r="D183" s="106" t="s">
        <v>170</v>
      </c>
      <c r="E183" s="223" t="s">
        <v>161</v>
      </c>
      <c r="F183" s="223" t="s">
        <v>157</v>
      </c>
      <c r="G183" s="107" t="s">
        <v>166</v>
      </c>
      <c r="H183" s="223" t="s">
        <v>22</v>
      </c>
      <c r="I183" s="223"/>
      <c r="J183" s="107"/>
      <c r="K183" s="101">
        <f t="shared" si="169"/>
        <v>86</v>
      </c>
      <c r="L183" s="102"/>
      <c r="M183" s="104" t="s">
        <v>22</v>
      </c>
      <c r="N183" s="102" t="s">
        <v>82</v>
      </c>
      <c r="P183" s="95">
        <v>114944.13984438646</v>
      </c>
      <c r="Q183" s="103">
        <v>6.0868951733920561E-3</v>
      </c>
      <c r="R183" s="99">
        <f t="shared" si="236"/>
        <v>699.65293002849751</v>
      </c>
      <c r="S183" s="99">
        <f t="shared" si="194"/>
        <v>20.481936078133678</v>
      </c>
      <c r="T183" s="221">
        <f t="shared" si="237"/>
        <v>720.13486610663119</v>
      </c>
      <c r="V183" s="95">
        <v>114576.11352058673</v>
      </c>
      <c r="W183" s="103">
        <v>7.0980861795213032E-3</v>
      </c>
      <c r="X183" s="99">
        <f t="shared" si="238"/>
        <v>813.27112788374063</v>
      </c>
      <c r="Y183" s="99">
        <f t="shared" si="197"/>
        <v>23.808043303453307</v>
      </c>
      <c r="Z183" s="221">
        <f t="shared" si="239"/>
        <v>837.07917118719399</v>
      </c>
      <c r="AB183" s="222">
        <f>V183</f>
        <v>114576.11352058673</v>
      </c>
      <c r="AC183" s="103">
        <v>7.0980861795213032E-3</v>
      </c>
      <c r="AD183" s="99">
        <f t="shared" si="241"/>
        <v>813.27112788374063</v>
      </c>
      <c r="AE183" s="99">
        <f t="shared" si="201"/>
        <v>23.808043303453307</v>
      </c>
      <c r="AF183" s="221">
        <f t="shared" si="242"/>
        <v>837.07917118719399</v>
      </c>
    </row>
    <row r="184" spans="2:32" x14ac:dyDescent="0.2">
      <c r="B184" s="223" t="s">
        <v>127</v>
      </c>
      <c r="C184" s="223" t="s">
        <v>70</v>
      </c>
      <c r="D184" s="106" t="s">
        <v>170</v>
      </c>
      <c r="E184" s="223" t="s">
        <v>161</v>
      </c>
      <c r="F184" s="223" t="s">
        <v>157</v>
      </c>
      <c r="G184" s="107" t="s">
        <v>166</v>
      </c>
      <c r="H184" s="223" t="s">
        <v>135</v>
      </c>
      <c r="I184" s="223"/>
      <c r="J184" s="107"/>
      <c r="K184" s="101">
        <f t="shared" si="169"/>
        <v>87</v>
      </c>
      <c r="L184" s="102"/>
      <c r="M184" s="104" t="s">
        <v>53</v>
      </c>
      <c r="N184" s="102" t="s">
        <v>82</v>
      </c>
      <c r="P184" s="95">
        <v>0</v>
      </c>
      <c r="Q184" s="103">
        <v>4.5700792346009432E-3</v>
      </c>
      <c r="R184" s="99">
        <f t="shared" si="236"/>
        <v>0</v>
      </c>
      <c r="S184" s="99">
        <f t="shared" si="194"/>
        <v>0</v>
      </c>
      <c r="T184" s="221">
        <f t="shared" si="237"/>
        <v>0</v>
      </c>
      <c r="V184" s="95">
        <v>0</v>
      </c>
      <c r="W184" s="103">
        <v>5.5966525837132268E-3</v>
      </c>
      <c r="X184" s="99">
        <f t="shared" si="238"/>
        <v>0</v>
      </c>
      <c r="Y184" s="99">
        <f t="shared" si="197"/>
        <v>0</v>
      </c>
      <c r="Z184" s="221">
        <f t="shared" si="239"/>
        <v>0</v>
      </c>
      <c r="AB184" s="222">
        <f t="shared" ref="AB184:AB186" si="243">V184</f>
        <v>0</v>
      </c>
      <c r="AC184" s="103">
        <v>5.5966525837132268E-3</v>
      </c>
      <c r="AD184" s="99">
        <f t="shared" si="241"/>
        <v>0</v>
      </c>
      <c r="AE184" s="99">
        <f t="shared" si="201"/>
        <v>0</v>
      </c>
      <c r="AF184" s="221">
        <f t="shared" si="242"/>
        <v>0</v>
      </c>
    </row>
    <row r="185" spans="2:32" x14ac:dyDescent="0.2">
      <c r="B185" s="223" t="s">
        <v>127</v>
      </c>
      <c r="C185" s="223" t="s">
        <v>70</v>
      </c>
      <c r="D185" s="106" t="s">
        <v>170</v>
      </c>
      <c r="E185" s="223" t="s">
        <v>161</v>
      </c>
      <c r="F185" s="223" t="s">
        <v>157</v>
      </c>
      <c r="G185" s="107" t="s">
        <v>166</v>
      </c>
      <c r="H185" s="223" t="s">
        <v>136</v>
      </c>
      <c r="I185" s="223"/>
      <c r="J185" s="107"/>
      <c r="K185" s="101">
        <f t="shared" si="169"/>
        <v>88</v>
      </c>
      <c r="L185" s="102"/>
      <c r="M185" s="104" t="s">
        <v>52</v>
      </c>
      <c r="N185" s="102" t="s">
        <v>82</v>
      </c>
      <c r="P185" s="95">
        <v>0</v>
      </c>
      <c r="Q185" s="103">
        <v>4.5700792346009432E-3</v>
      </c>
      <c r="R185" s="99">
        <f t="shared" si="236"/>
        <v>0</v>
      </c>
      <c r="S185" s="99">
        <f t="shared" si="194"/>
        <v>0</v>
      </c>
      <c r="T185" s="221">
        <f t="shared" si="237"/>
        <v>0</v>
      </c>
      <c r="V185" s="95">
        <v>0</v>
      </c>
      <c r="W185" s="103">
        <v>5.5966525837132268E-3</v>
      </c>
      <c r="X185" s="99">
        <f t="shared" si="238"/>
        <v>0</v>
      </c>
      <c r="Y185" s="99">
        <f t="shared" si="197"/>
        <v>0</v>
      </c>
      <c r="Z185" s="221">
        <f t="shared" si="239"/>
        <v>0</v>
      </c>
      <c r="AB185" s="222">
        <f t="shared" si="243"/>
        <v>0</v>
      </c>
      <c r="AC185" s="103">
        <v>5.5966525837132268E-3</v>
      </c>
      <c r="AD185" s="99">
        <f t="shared" si="241"/>
        <v>0</v>
      </c>
      <c r="AE185" s="99">
        <f t="shared" si="201"/>
        <v>0</v>
      </c>
      <c r="AF185" s="221">
        <f t="shared" si="242"/>
        <v>0</v>
      </c>
    </row>
    <row r="186" spans="2:32" x14ac:dyDescent="0.2">
      <c r="B186" s="223" t="s">
        <v>127</v>
      </c>
      <c r="C186" s="223" t="s">
        <v>70</v>
      </c>
      <c r="D186" s="106" t="s">
        <v>170</v>
      </c>
      <c r="E186" s="223" t="s">
        <v>161</v>
      </c>
      <c r="F186" s="223" t="s">
        <v>157</v>
      </c>
      <c r="G186" s="107" t="s">
        <v>166</v>
      </c>
      <c r="H186" s="223" t="s">
        <v>24</v>
      </c>
      <c r="I186" s="223"/>
      <c r="J186" s="107"/>
      <c r="K186" s="101">
        <f t="shared" si="169"/>
        <v>89</v>
      </c>
      <c r="L186" s="102"/>
      <c r="M186" s="104" t="s">
        <v>24</v>
      </c>
      <c r="N186" s="102" t="s">
        <v>82</v>
      </c>
      <c r="P186" s="95">
        <v>0</v>
      </c>
      <c r="Q186" s="103">
        <v>4.5700792346009432E-3</v>
      </c>
      <c r="R186" s="99">
        <f t="shared" si="236"/>
        <v>0</v>
      </c>
      <c r="S186" s="99">
        <f t="shared" si="194"/>
        <v>0</v>
      </c>
      <c r="T186" s="221">
        <f t="shared" si="237"/>
        <v>0</v>
      </c>
      <c r="V186" s="95">
        <v>0</v>
      </c>
      <c r="W186" s="103">
        <v>5.5966525837132268E-3</v>
      </c>
      <c r="X186" s="99">
        <f t="shared" si="238"/>
        <v>0</v>
      </c>
      <c r="Y186" s="99">
        <f t="shared" si="197"/>
        <v>0</v>
      </c>
      <c r="Z186" s="221">
        <f t="shared" si="239"/>
        <v>0</v>
      </c>
      <c r="AB186" s="222">
        <f t="shared" si="243"/>
        <v>0</v>
      </c>
      <c r="AC186" s="103">
        <v>5.5966525837132268E-3</v>
      </c>
      <c r="AD186" s="99">
        <f t="shared" si="241"/>
        <v>0</v>
      </c>
      <c r="AE186" s="99">
        <f t="shared" si="201"/>
        <v>0</v>
      </c>
      <c r="AF186" s="221">
        <f t="shared" si="242"/>
        <v>0</v>
      </c>
    </row>
    <row r="187" spans="2:32" x14ac:dyDescent="0.2">
      <c r="P187" s="95"/>
      <c r="V187" s="95"/>
    </row>
    <row r="188" spans="2:32" x14ac:dyDescent="0.2">
      <c r="V188" s="95"/>
    </row>
    <row r="189" spans="2:32" x14ac:dyDescent="0.2">
      <c r="V189" s="95"/>
    </row>
    <row r="190" spans="2:32" x14ac:dyDescent="0.2">
      <c r="B190" s="91" t="s">
        <v>127</v>
      </c>
      <c r="C190" s="91" t="s">
        <v>77</v>
      </c>
      <c r="D190" s="91" t="s">
        <v>128</v>
      </c>
      <c r="E190" s="91" t="s">
        <v>129</v>
      </c>
      <c r="F190" s="91"/>
      <c r="G190" s="91"/>
      <c r="H190" s="91"/>
      <c r="I190" s="91"/>
      <c r="J190" s="91"/>
      <c r="K190" s="92">
        <f>IF(ISNUMBER(SEARCH("continued", M190)), K187+1, IF(ISNUMBER(SEARCH("schedule", M190)), 1, IF(M190="", "", K189+1)))</f>
        <v>1</v>
      </c>
      <c r="L190" s="91"/>
      <c r="M190" s="93" t="s">
        <v>172</v>
      </c>
      <c r="N190" s="91"/>
    </row>
    <row r="191" spans="2:32" x14ac:dyDescent="0.2">
      <c r="B191" s="91" t="s">
        <v>127</v>
      </c>
      <c r="C191" s="91" t="s">
        <v>77</v>
      </c>
      <c r="D191" s="91" t="s">
        <v>128</v>
      </c>
      <c r="E191" s="91"/>
      <c r="F191" s="91"/>
      <c r="G191" s="91"/>
      <c r="H191" s="91"/>
      <c r="I191" s="91"/>
      <c r="J191" s="91"/>
      <c r="K191" s="92">
        <f t="shared" ref="K191:K243" si="244">IF(ISNUMBER(SEARCH("continued", M191)), K189+1, IF(ISNUMBER(SEARCH("schedule", M191)), 1, IF(M191="", "", K190+1)))</f>
        <v>2</v>
      </c>
      <c r="L191" s="91"/>
      <c r="M191" s="91" t="s">
        <v>131</v>
      </c>
      <c r="N191" s="91"/>
    </row>
    <row r="192" spans="2:32" x14ac:dyDescent="0.2">
      <c r="B192" s="91" t="s">
        <v>127</v>
      </c>
      <c r="C192" s="91" t="s">
        <v>77</v>
      </c>
      <c r="D192" s="91" t="s">
        <v>128</v>
      </c>
      <c r="E192" s="91"/>
      <c r="F192" s="91"/>
      <c r="G192" s="91"/>
      <c r="H192" s="91"/>
      <c r="I192" s="91"/>
      <c r="J192" s="91"/>
      <c r="K192" s="92">
        <f t="shared" si="244"/>
        <v>3</v>
      </c>
      <c r="L192" s="91"/>
      <c r="M192" s="96" t="s">
        <v>137</v>
      </c>
      <c r="N192" s="91"/>
    </row>
    <row r="193" spans="2:32" x14ac:dyDescent="0.2">
      <c r="B193" s="91" t="s">
        <v>127</v>
      </c>
      <c r="C193" s="91" t="s">
        <v>77</v>
      </c>
      <c r="D193" s="91" t="s">
        <v>128</v>
      </c>
      <c r="E193" s="91" t="s">
        <v>133</v>
      </c>
      <c r="F193" s="91"/>
      <c r="G193" s="91"/>
      <c r="H193" s="91" t="s">
        <v>22</v>
      </c>
      <c r="I193" s="91"/>
      <c r="J193" s="91" t="s">
        <v>138</v>
      </c>
      <c r="K193" s="92">
        <f t="shared" si="244"/>
        <v>4</v>
      </c>
      <c r="L193" s="91"/>
      <c r="M193" s="97" t="s">
        <v>22</v>
      </c>
      <c r="N193" s="91" t="s">
        <v>80</v>
      </c>
      <c r="P193" s="95">
        <v>127.95454545454545</v>
      </c>
      <c r="Q193" s="98">
        <v>59.767830378442255</v>
      </c>
      <c r="R193" s="99">
        <f t="shared" ref="R193:R195" si="245">P193*Q193</f>
        <v>7647.5655688779525</v>
      </c>
      <c r="S193" s="99">
        <f t="shared" ref="S193:S227" si="246">R193*$S$2</f>
        <v>223.87807213029791</v>
      </c>
      <c r="T193" s="221">
        <f t="shared" ref="T193:T195" si="247">S193+R193</f>
        <v>7871.4436410082508</v>
      </c>
      <c r="V193" s="95">
        <v>128.14069264069263</v>
      </c>
      <c r="W193" s="98">
        <v>71.721396454130698</v>
      </c>
      <c r="X193" s="99">
        <f t="shared" ref="X193:X195" si="248">V193*W193</f>
        <v>9190.429418790025</v>
      </c>
      <c r="Y193" s="99">
        <f>X193*$Y$2</f>
        <v>269.04452165817332</v>
      </c>
      <c r="Z193" s="221">
        <f t="shared" ref="Z193:Z195" si="249">Y193+X193</f>
        <v>9459.4739404481988</v>
      </c>
      <c r="AB193" s="222">
        <f t="shared" ref="AB193:AB195" si="250">V193</f>
        <v>128.14069264069263</v>
      </c>
      <c r="AC193" s="98">
        <v>86.065675744956835</v>
      </c>
      <c r="AD193" s="99">
        <f t="shared" ref="AD193:AD195" si="251">AB193*AC193</f>
        <v>11028.515302548029</v>
      </c>
      <c r="AE193" s="99">
        <f>AD193*$AE$2</f>
        <v>322.85342598980799</v>
      </c>
      <c r="AF193" s="221">
        <f t="shared" ref="AF193:AF195" si="252">AE193+AD193</f>
        <v>11351.368728537836</v>
      </c>
    </row>
    <row r="194" spans="2:32" x14ac:dyDescent="0.2">
      <c r="B194" s="91" t="s">
        <v>127</v>
      </c>
      <c r="C194" s="91" t="s">
        <v>77</v>
      </c>
      <c r="D194" s="91" t="s">
        <v>128</v>
      </c>
      <c r="E194" s="91" t="s">
        <v>133</v>
      </c>
      <c r="F194" s="91"/>
      <c r="G194" s="91"/>
      <c r="H194" s="91" t="s">
        <v>136</v>
      </c>
      <c r="I194" s="91"/>
      <c r="J194" s="91" t="s">
        <v>138</v>
      </c>
      <c r="K194" s="92">
        <f t="shared" si="244"/>
        <v>5</v>
      </c>
      <c r="L194" s="91"/>
      <c r="M194" s="97" t="s">
        <v>52</v>
      </c>
      <c r="N194" s="91" t="s">
        <v>80</v>
      </c>
      <c r="P194" s="95">
        <v>34.909090909090907</v>
      </c>
      <c r="Q194" s="98">
        <v>18172.181137240001</v>
      </c>
      <c r="R194" s="99">
        <f t="shared" si="245"/>
        <v>634374.32333637821</v>
      </c>
      <c r="S194" s="99">
        <f t="shared" si="246"/>
        <v>18570.942509532229</v>
      </c>
      <c r="T194" s="221">
        <f t="shared" si="247"/>
        <v>652945.26584591041</v>
      </c>
      <c r="V194" s="95">
        <v>38.233766233766225</v>
      </c>
      <c r="W194" s="98">
        <v>21806.617364688002</v>
      </c>
      <c r="X194" s="99">
        <f t="shared" si="248"/>
        <v>833749.11067066831</v>
      </c>
      <c r="Y194" s="99">
        <f>X194*$Y$2</f>
        <v>24407.524441099496</v>
      </c>
      <c r="Z194" s="221">
        <f t="shared" si="249"/>
        <v>858156.6351117678</v>
      </c>
      <c r="AB194" s="222">
        <f t="shared" si="250"/>
        <v>38.233766233766225</v>
      </c>
      <c r="AC194" s="98">
        <v>26167.9408376256</v>
      </c>
      <c r="AD194" s="99">
        <f t="shared" si="251"/>
        <v>1000498.932804802</v>
      </c>
      <c r="AE194" s="99">
        <f>AD194*$AE$2</f>
        <v>29289.029329319397</v>
      </c>
      <c r="AF194" s="221">
        <f t="shared" si="252"/>
        <v>1029787.9621341213</v>
      </c>
    </row>
    <row r="195" spans="2:32" x14ac:dyDescent="0.2">
      <c r="B195" s="91" t="s">
        <v>127</v>
      </c>
      <c r="C195" s="91" t="s">
        <v>77</v>
      </c>
      <c r="D195" s="91" t="s">
        <v>128</v>
      </c>
      <c r="E195" s="91" t="s">
        <v>133</v>
      </c>
      <c r="F195" s="91"/>
      <c r="G195" s="91"/>
      <c r="H195" s="91" t="s">
        <v>24</v>
      </c>
      <c r="I195" s="91"/>
      <c r="J195" s="91" t="s">
        <v>138</v>
      </c>
      <c r="K195" s="92">
        <f t="shared" si="244"/>
        <v>6</v>
      </c>
      <c r="L195" s="91"/>
      <c r="M195" s="97" t="s">
        <v>24</v>
      </c>
      <c r="N195" s="91" t="s">
        <v>80</v>
      </c>
      <c r="P195" s="95">
        <v>89.13636363636364</v>
      </c>
      <c r="Q195" s="98">
        <v>1931.1338740057854</v>
      </c>
      <c r="R195" s="99">
        <f t="shared" si="245"/>
        <v>172134.25122387934</v>
      </c>
      <c r="S195" s="99">
        <f t="shared" si="246"/>
        <v>5039.1309449405117</v>
      </c>
      <c r="T195" s="221">
        <f t="shared" si="247"/>
        <v>177173.38216881987</v>
      </c>
      <c r="V195" s="95">
        <v>97.625541125541105</v>
      </c>
      <c r="W195" s="98">
        <v>1883.9083120008331</v>
      </c>
      <c r="X195" s="99">
        <f t="shared" si="248"/>
        <v>183917.56838998606</v>
      </c>
      <c r="Y195" s="99">
        <f>X195*$Y$2</f>
        <v>5384.080760236423</v>
      </c>
      <c r="Z195" s="221">
        <f t="shared" si="249"/>
        <v>189301.64915022248</v>
      </c>
      <c r="AB195" s="222">
        <f t="shared" si="250"/>
        <v>97.625541125541105</v>
      </c>
      <c r="AC195" s="98">
        <v>1883.9083120008331</v>
      </c>
      <c r="AD195" s="99">
        <f t="shared" si="251"/>
        <v>183917.56838998606</v>
      </c>
      <c r="AE195" s="99">
        <f>AD195*$AE$2</f>
        <v>5384.080760236423</v>
      </c>
      <c r="AF195" s="221">
        <f t="shared" si="252"/>
        <v>189301.64915022248</v>
      </c>
    </row>
    <row r="196" spans="2:32" x14ac:dyDescent="0.2">
      <c r="B196" s="91" t="s">
        <v>127</v>
      </c>
      <c r="C196" s="91" t="s">
        <v>77</v>
      </c>
      <c r="D196" s="91" t="s">
        <v>128</v>
      </c>
      <c r="E196" s="91"/>
      <c r="F196" s="91"/>
      <c r="G196" s="91"/>
      <c r="H196" s="91"/>
      <c r="I196" s="91"/>
      <c r="J196" s="91"/>
      <c r="K196" s="92">
        <f t="shared" si="244"/>
        <v>7</v>
      </c>
      <c r="L196" s="91"/>
      <c r="M196" s="96" t="s">
        <v>139</v>
      </c>
      <c r="N196" s="91"/>
      <c r="P196" s="95"/>
      <c r="Q196" s="98"/>
      <c r="V196" s="95"/>
      <c r="W196" s="98"/>
      <c r="AC196" s="98"/>
    </row>
    <row r="197" spans="2:32" x14ac:dyDescent="0.2">
      <c r="B197" s="91" t="s">
        <v>127</v>
      </c>
      <c r="C197" s="91" t="s">
        <v>77</v>
      </c>
      <c r="D197" s="91" t="s">
        <v>128</v>
      </c>
      <c r="E197" s="91" t="s">
        <v>133</v>
      </c>
      <c r="F197" s="91"/>
      <c r="G197" s="91"/>
      <c r="H197" s="91" t="s">
        <v>136</v>
      </c>
      <c r="I197" s="91"/>
      <c r="J197" s="91" t="s">
        <v>140</v>
      </c>
      <c r="K197" s="92">
        <f t="shared" si="244"/>
        <v>8</v>
      </c>
      <c r="L197" s="91"/>
      <c r="M197" s="97" t="s">
        <v>52</v>
      </c>
      <c r="N197" s="91" t="s">
        <v>80</v>
      </c>
      <c r="P197" s="95">
        <v>0</v>
      </c>
      <c r="Q197" s="98">
        <v>30722.492670743319</v>
      </c>
      <c r="R197" s="99">
        <f t="shared" ref="R197:R199" si="253">P197*Q197</f>
        <v>0</v>
      </c>
      <c r="S197" s="99">
        <f t="shared" si="246"/>
        <v>0</v>
      </c>
      <c r="T197" s="221">
        <f t="shared" ref="T197:T199" si="254">S197+R197</f>
        <v>0</v>
      </c>
      <c r="V197" s="95">
        <v>0</v>
      </c>
      <c r="W197" s="98">
        <v>36866.99120489198</v>
      </c>
      <c r="X197" s="99">
        <f t="shared" ref="X197:X199" si="255">V197*W197</f>
        <v>0</v>
      </c>
      <c r="Y197" s="99">
        <f>X197*$Y$2</f>
        <v>0</v>
      </c>
      <c r="Z197" s="221">
        <f t="shared" ref="Z197:Z199" si="256">Y197+X197</f>
        <v>0</v>
      </c>
      <c r="AB197" s="222">
        <f t="shared" ref="AB197:AB199" si="257">V197</f>
        <v>0</v>
      </c>
      <c r="AC197" s="98">
        <v>44240.389445870373</v>
      </c>
      <c r="AD197" s="99">
        <f t="shared" ref="AD197:AD199" si="258">AB197*AC197</f>
        <v>0</v>
      </c>
      <c r="AE197" s="99">
        <f>AD197*$AE$2</f>
        <v>0</v>
      </c>
      <c r="AF197" s="221">
        <f t="shared" ref="AF197:AF199" si="259">AE197+AD197</f>
        <v>0</v>
      </c>
    </row>
    <row r="198" spans="2:32" x14ac:dyDescent="0.2">
      <c r="B198" s="91" t="s">
        <v>127</v>
      </c>
      <c r="C198" s="91" t="s">
        <v>77</v>
      </c>
      <c r="D198" s="91" t="s">
        <v>128</v>
      </c>
      <c r="E198" s="91" t="s">
        <v>142</v>
      </c>
      <c r="F198" s="91"/>
      <c r="G198" s="91"/>
      <c r="H198" s="91"/>
      <c r="I198" s="91"/>
      <c r="J198" s="91" t="s">
        <v>143</v>
      </c>
      <c r="K198" s="92">
        <f t="shared" si="244"/>
        <v>9</v>
      </c>
      <c r="L198" s="91"/>
      <c r="M198" s="91" t="s">
        <v>173</v>
      </c>
      <c r="N198" s="91" t="s">
        <v>145</v>
      </c>
      <c r="P198" s="95">
        <v>36</v>
      </c>
      <c r="Q198" s="98">
        <v>1.22</v>
      </c>
      <c r="R198" s="99">
        <f t="shared" si="253"/>
        <v>43.92</v>
      </c>
      <c r="S198" s="99">
        <f t="shared" si="246"/>
        <v>1.2857326739344763</v>
      </c>
      <c r="T198" s="221">
        <f t="shared" si="254"/>
        <v>45.205732673934477</v>
      </c>
      <c r="V198" s="95">
        <v>36</v>
      </c>
      <c r="W198" s="98">
        <v>1.22</v>
      </c>
      <c r="X198" s="99">
        <f t="shared" si="255"/>
        <v>43.92</v>
      </c>
      <c r="Y198" s="99">
        <f>X198*$Y$2</f>
        <v>1.2857326739344763</v>
      </c>
      <c r="Z198" s="221">
        <f t="shared" si="256"/>
        <v>45.205732673934477</v>
      </c>
      <c r="AB198" s="222">
        <f t="shared" si="257"/>
        <v>36</v>
      </c>
      <c r="AC198" s="98">
        <v>1.22</v>
      </c>
      <c r="AD198" s="99">
        <f t="shared" si="258"/>
        <v>43.92</v>
      </c>
      <c r="AE198" s="99">
        <f>AD198*$AE$2</f>
        <v>1.2857326739344763</v>
      </c>
      <c r="AF198" s="221">
        <f t="shared" si="259"/>
        <v>45.205732673934477</v>
      </c>
    </row>
    <row r="199" spans="2:32" x14ac:dyDescent="0.2">
      <c r="B199" s="91" t="s">
        <v>127</v>
      </c>
      <c r="C199" s="91" t="s">
        <v>77</v>
      </c>
      <c r="D199" s="91" t="s">
        <v>128</v>
      </c>
      <c r="E199" s="91" t="s">
        <v>142</v>
      </c>
      <c r="F199" s="91"/>
      <c r="G199" s="91"/>
      <c r="H199" s="91"/>
      <c r="I199" s="91"/>
      <c r="J199" s="91" t="s">
        <v>146</v>
      </c>
      <c r="K199" s="92">
        <f t="shared" si="244"/>
        <v>10</v>
      </c>
      <c r="L199" s="91"/>
      <c r="M199" s="91" t="s">
        <v>174</v>
      </c>
      <c r="N199" s="91" t="s">
        <v>145</v>
      </c>
      <c r="P199" s="95">
        <v>40368</v>
      </c>
      <c r="Q199" s="98">
        <v>3.13</v>
      </c>
      <c r="R199" s="99">
        <f t="shared" si="253"/>
        <v>126351.84</v>
      </c>
      <c r="S199" s="99">
        <f t="shared" si="246"/>
        <v>3698.8772563693328</v>
      </c>
      <c r="T199" s="221">
        <f t="shared" si="254"/>
        <v>130050.71725636933</v>
      </c>
      <c r="V199" s="95">
        <v>40368</v>
      </c>
      <c r="W199" s="98">
        <v>3.13</v>
      </c>
      <c r="X199" s="99">
        <f t="shared" si="255"/>
        <v>126351.84</v>
      </c>
      <c r="Y199" s="99">
        <f>X199*$Y$2</f>
        <v>3698.8772563693328</v>
      </c>
      <c r="Z199" s="221">
        <f t="shared" si="256"/>
        <v>130050.71725636933</v>
      </c>
      <c r="AB199" s="222">
        <f t="shared" si="257"/>
        <v>40368</v>
      </c>
      <c r="AC199" s="98">
        <v>3.13</v>
      </c>
      <c r="AD199" s="99">
        <f t="shared" si="258"/>
        <v>126351.84</v>
      </c>
      <c r="AE199" s="99">
        <f>AD199*$AE$2</f>
        <v>3698.8772563693328</v>
      </c>
      <c r="AF199" s="221">
        <f t="shared" si="259"/>
        <v>130050.71725636933</v>
      </c>
    </row>
    <row r="200" spans="2:32" x14ac:dyDescent="0.2">
      <c r="B200" s="91" t="s">
        <v>127</v>
      </c>
      <c r="C200" s="91" t="s">
        <v>77</v>
      </c>
      <c r="D200" s="91" t="s">
        <v>128</v>
      </c>
      <c r="E200" s="91"/>
      <c r="F200" s="91"/>
      <c r="G200" s="91"/>
      <c r="H200" s="91"/>
      <c r="I200" s="91"/>
      <c r="J200" s="91"/>
      <c r="K200" s="92">
        <f t="shared" si="244"/>
        <v>11</v>
      </c>
      <c r="L200" s="91"/>
      <c r="M200" s="91" t="s">
        <v>150</v>
      </c>
      <c r="N200" s="91"/>
      <c r="P200" s="105"/>
      <c r="Q200" s="98"/>
      <c r="V200" s="105"/>
      <c r="W200" s="98"/>
      <c r="AC200" s="98"/>
    </row>
    <row r="201" spans="2:32" x14ac:dyDescent="0.2">
      <c r="B201" s="91" t="s">
        <v>127</v>
      </c>
      <c r="C201" s="91" t="s">
        <v>77</v>
      </c>
      <c r="D201" s="91" t="s">
        <v>128</v>
      </c>
      <c r="E201" s="91" t="s">
        <v>151</v>
      </c>
      <c r="F201" s="91"/>
      <c r="G201" s="91"/>
      <c r="H201" s="91" t="s">
        <v>22</v>
      </c>
      <c r="I201" s="91"/>
      <c r="J201" s="91"/>
      <c r="K201" s="92">
        <f t="shared" si="244"/>
        <v>12</v>
      </c>
      <c r="L201" s="91"/>
      <c r="M201" s="96" t="s">
        <v>22</v>
      </c>
      <c r="N201" s="91" t="s">
        <v>81</v>
      </c>
      <c r="P201" s="95">
        <v>258466.70736917754</v>
      </c>
      <c r="Q201" s="98">
        <v>24.47124639191027</v>
      </c>
      <c r="R201" s="99">
        <f t="shared" ref="R201:R203" si="260">P201*Q201</f>
        <v>6325002.4801369132</v>
      </c>
      <c r="S201" s="99">
        <f t="shared" si="246"/>
        <v>185160.80035128933</v>
      </c>
      <c r="T201" s="221">
        <f t="shared" ref="T201:T203" si="261">S201+R201</f>
        <v>6510163.2804882023</v>
      </c>
      <c r="V201" s="95">
        <v>229306.34715420447</v>
      </c>
      <c r="W201" s="98">
        <v>24.202507581854984</v>
      </c>
      <c r="X201" s="99">
        <f t="shared" ref="X201:X203" si="262">V201*W201</f>
        <v>5549788.6055671051</v>
      </c>
      <c r="Y201" s="99">
        <f>X201*$Y$2</f>
        <v>162466.86119323503</v>
      </c>
      <c r="Z201" s="221">
        <f t="shared" ref="Z201:Z203" si="263">Y201+X201</f>
        <v>5712255.4667603401</v>
      </c>
      <c r="AB201" s="222">
        <f t="shared" ref="AB201:AB203" si="264">V201</f>
        <v>229306.34715420447</v>
      </c>
      <c r="AC201" s="98">
        <v>23.929765797169289</v>
      </c>
      <c r="AD201" s="99">
        <f t="shared" ref="AD201:AD203" si="265">AB201*AC201</f>
        <v>5487247.1832045093</v>
      </c>
      <c r="AE201" s="99">
        <f>AD201*$AE$2</f>
        <v>160635.99711750812</v>
      </c>
      <c r="AF201" s="221">
        <f t="shared" ref="AF201:AF203" si="266">AE201+AD201</f>
        <v>5647883.1803220175</v>
      </c>
    </row>
    <row r="202" spans="2:32" x14ac:dyDescent="0.2">
      <c r="B202" s="91" t="s">
        <v>127</v>
      </c>
      <c r="C202" s="91" t="s">
        <v>77</v>
      </c>
      <c r="D202" s="91" t="s">
        <v>128</v>
      </c>
      <c r="E202" s="91" t="s">
        <v>151</v>
      </c>
      <c r="F202" s="91"/>
      <c r="G202" s="91"/>
      <c r="H202" s="91" t="s">
        <v>136</v>
      </c>
      <c r="I202" s="91"/>
      <c r="J202" s="91"/>
      <c r="K202" s="92">
        <f t="shared" si="244"/>
        <v>13</v>
      </c>
      <c r="L202" s="91"/>
      <c r="M202" s="96" t="s">
        <v>52</v>
      </c>
      <c r="N202" s="91" t="s">
        <v>81</v>
      </c>
      <c r="P202" s="95">
        <v>204796.72366850788</v>
      </c>
      <c r="Q202" s="98">
        <v>14.171512922991255</v>
      </c>
      <c r="R202" s="99">
        <f t="shared" si="260"/>
        <v>2902279.4160545287</v>
      </c>
      <c r="S202" s="99">
        <f t="shared" si="246"/>
        <v>84962.556332167107</v>
      </c>
      <c r="T202" s="221">
        <f t="shared" si="261"/>
        <v>2987241.9723866959</v>
      </c>
      <c r="V202" s="95">
        <v>189207.24364170118</v>
      </c>
      <c r="W202" s="98">
        <v>14.166072203465001</v>
      </c>
      <c r="X202" s="99">
        <f t="shared" si="262"/>
        <v>2680323.474846933</v>
      </c>
      <c r="Y202" s="99">
        <f>X202*$Y$2</f>
        <v>78464.924142174277</v>
      </c>
      <c r="Z202" s="221">
        <f t="shared" si="263"/>
        <v>2758788.3989891075</v>
      </c>
      <c r="AB202" s="222">
        <f t="shared" si="264"/>
        <v>189207.24364170118</v>
      </c>
      <c r="AC202" s="98">
        <v>14.166072203465001</v>
      </c>
      <c r="AD202" s="99">
        <f t="shared" si="265"/>
        <v>2680323.474846933</v>
      </c>
      <c r="AE202" s="99">
        <f>AD202*$AE$2</f>
        <v>78464.924142174277</v>
      </c>
      <c r="AF202" s="221">
        <f t="shared" si="266"/>
        <v>2758788.3989891075</v>
      </c>
    </row>
    <row r="203" spans="2:32" x14ac:dyDescent="0.2">
      <c r="B203" s="91" t="s">
        <v>127</v>
      </c>
      <c r="C203" s="91" t="s">
        <v>77</v>
      </c>
      <c r="D203" s="91" t="s">
        <v>128</v>
      </c>
      <c r="E203" s="91" t="s">
        <v>151</v>
      </c>
      <c r="F203" s="91"/>
      <c r="G203" s="91"/>
      <c r="H203" s="91" t="s">
        <v>24</v>
      </c>
      <c r="I203" s="91"/>
      <c r="J203" s="91"/>
      <c r="K203" s="92">
        <f t="shared" si="244"/>
        <v>14</v>
      </c>
      <c r="L203" s="91"/>
      <c r="M203" s="96" t="s">
        <v>24</v>
      </c>
      <c r="N203" s="91" t="s">
        <v>81</v>
      </c>
      <c r="P203" s="95">
        <v>1288152.1643481371</v>
      </c>
      <c r="Q203" s="98">
        <v>14.101512922991255</v>
      </c>
      <c r="R203" s="99">
        <f t="shared" si="260"/>
        <v>18164894.392334409</v>
      </c>
      <c r="S203" s="99">
        <f t="shared" si="246"/>
        <v>531766.80871569877</v>
      </c>
      <c r="T203" s="221">
        <f t="shared" si="261"/>
        <v>18696661.201050106</v>
      </c>
      <c r="V203" s="95">
        <v>1191129.5771207477</v>
      </c>
      <c r="W203" s="98">
        <v>14.096072203465001</v>
      </c>
      <c r="X203" s="99">
        <f t="shared" si="262"/>
        <v>16790248.522776794</v>
      </c>
      <c r="Y203" s="99">
        <f>X203*$Y$2</f>
        <v>491524.84356134327</v>
      </c>
      <c r="Z203" s="221">
        <f t="shared" si="263"/>
        <v>17281773.366338138</v>
      </c>
      <c r="AB203" s="222">
        <f t="shared" si="264"/>
        <v>1191129.5771207477</v>
      </c>
      <c r="AC203" s="98">
        <v>14.096072203465001</v>
      </c>
      <c r="AD203" s="99">
        <f t="shared" si="265"/>
        <v>16790248.522776794</v>
      </c>
      <c r="AE203" s="99">
        <f>AD203*$AE$2</f>
        <v>491524.84356134327</v>
      </c>
      <c r="AF203" s="221">
        <f t="shared" si="266"/>
        <v>17281773.366338138</v>
      </c>
    </row>
    <row r="204" spans="2:32" x14ac:dyDescent="0.2">
      <c r="B204" s="91" t="s">
        <v>127</v>
      </c>
      <c r="C204" s="91" t="s">
        <v>77</v>
      </c>
      <c r="D204" s="91" t="s">
        <v>128</v>
      </c>
      <c r="E204" s="91"/>
      <c r="F204" s="91"/>
      <c r="G204" s="91"/>
      <c r="H204" s="91"/>
      <c r="I204" s="91"/>
      <c r="J204" s="91"/>
      <c r="K204" s="92">
        <f t="shared" si="244"/>
        <v>15</v>
      </c>
      <c r="L204" s="91"/>
      <c r="M204" s="91" t="s">
        <v>152</v>
      </c>
      <c r="N204" s="91"/>
      <c r="P204" s="105"/>
      <c r="Q204" s="98"/>
      <c r="V204" s="105"/>
      <c r="W204" s="98"/>
      <c r="AC204" s="98"/>
    </row>
    <row r="205" spans="2:32" x14ac:dyDescent="0.2">
      <c r="B205" s="91" t="s">
        <v>127</v>
      </c>
      <c r="C205" s="91" t="s">
        <v>77</v>
      </c>
      <c r="D205" s="91" t="s">
        <v>128</v>
      </c>
      <c r="E205" s="91" t="s">
        <v>153</v>
      </c>
      <c r="F205" s="91"/>
      <c r="G205" s="91"/>
      <c r="H205" s="91" t="s">
        <v>22</v>
      </c>
      <c r="I205" s="91"/>
      <c r="J205" s="91"/>
      <c r="K205" s="92">
        <f t="shared" si="244"/>
        <v>16</v>
      </c>
      <c r="L205" s="91"/>
      <c r="M205" s="96" t="s">
        <v>22</v>
      </c>
      <c r="N205" s="91" t="s">
        <v>81</v>
      </c>
      <c r="P205" s="95">
        <v>256629.70398553062</v>
      </c>
      <c r="Q205" s="98">
        <v>0</v>
      </c>
      <c r="R205" s="99">
        <f t="shared" ref="R205:R207" si="267">P205*Q205</f>
        <v>0</v>
      </c>
      <c r="S205" s="99">
        <f t="shared" si="246"/>
        <v>0</v>
      </c>
      <c r="T205" s="221">
        <f t="shared" ref="T205:T207" si="268">S205+R205</f>
        <v>0</v>
      </c>
      <c r="V205" s="95">
        <v>227608.11686708292</v>
      </c>
      <c r="W205" s="98">
        <v>0</v>
      </c>
      <c r="X205" s="99">
        <f t="shared" ref="X205:X207" si="269">V205*W205</f>
        <v>0</v>
      </c>
      <c r="Y205" s="99">
        <f>X205*$Y$2</f>
        <v>0</v>
      </c>
      <c r="Z205" s="221">
        <f t="shared" ref="Z205:Z207" si="270">Y205+X205</f>
        <v>0</v>
      </c>
      <c r="AB205" s="222">
        <f t="shared" ref="AB205:AB207" si="271">V205</f>
        <v>227608.11686708292</v>
      </c>
      <c r="AC205" s="98">
        <v>0</v>
      </c>
      <c r="AD205" s="99">
        <f t="shared" ref="AD205:AD207" si="272">AB205*AC205</f>
        <v>0</v>
      </c>
      <c r="AE205" s="99">
        <f>AD205*$AE$2</f>
        <v>0</v>
      </c>
      <c r="AF205" s="221">
        <f t="shared" ref="AF205:AF207" si="273">AE205+AD205</f>
        <v>0</v>
      </c>
    </row>
    <row r="206" spans="2:32" x14ac:dyDescent="0.2">
      <c r="B206" s="91" t="s">
        <v>127</v>
      </c>
      <c r="C206" s="91" t="s">
        <v>77</v>
      </c>
      <c r="D206" s="91" t="s">
        <v>128</v>
      </c>
      <c r="E206" s="91" t="s">
        <v>153</v>
      </c>
      <c r="F206" s="91"/>
      <c r="G206" s="91"/>
      <c r="H206" s="91" t="s">
        <v>136</v>
      </c>
      <c r="I206" s="91"/>
      <c r="J206" s="91"/>
      <c r="K206" s="92">
        <f t="shared" si="244"/>
        <v>17</v>
      </c>
      <c r="L206" s="91"/>
      <c r="M206" s="96" t="s">
        <v>52</v>
      </c>
      <c r="N206" s="91" t="s">
        <v>81</v>
      </c>
      <c r="P206" s="95">
        <v>203599.75606545786</v>
      </c>
      <c r="Q206" s="98">
        <v>0</v>
      </c>
      <c r="R206" s="99">
        <f t="shared" si="267"/>
        <v>0</v>
      </c>
      <c r="S206" s="99">
        <f t="shared" si="246"/>
        <v>0</v>
      </c>
      <c r="T206" s="221">
        <f t="shared" si="268"/>
        <v>0</v>
      </c>
      <c r="V206" s="95">
        <v>188101.39127822249</v>
      </c>
      <c r="W206" s="98">
        <v>0</v>
      </c>
      <c r="X206" s="99">
        <f t="shared" si="269"/>
        <v>0</v>
      </c>
      <c r="Y206" s="99">
        <f>X206*$Y$2</f>
        <v>0</v>
      </c>
      <c r="Z206" s="221">
        <f t="shared" si="270"/>
        <v>0</v>
      </c>
      <c r="AB206" s="222">
        <f t="shared" si="271"/>
        <v>188101.39127822249</v>
      </c>
      <c r="AC206" s="98">
        <v>0</v>
      </c>
      <c r="AD206" s="99">
        <f t="shared" si="272"/>
        <v>0</v>
      </c>
      <c r="AE206" s="99">
        <f>AD206*$AE$2</f>
        <v>0</v>
      </c>
      <c r="AF206" s="221">
        <f t="shared" si="273"/>
        <v>0</v>
      </c>
    </row>
    <row r="207" spans="2:32" x14ac:dyDescent="0.2">
      <c r="B207" s="91" t="s">
        <v>127</v>
      </c>
      <c r="C207" s="91" t="s">
        <v>77</v>
      </c>
      <c r="D207" s="91" t="s">
        <v>128</v>
      </c>
      <c r="E207" s="91" t="s">
        <v>153</v>
      </c>
      <c r="F207" s="91"/>
      <c r="G207" s="91"/>
      <c r="H207" s="91" t="s">
        <v>24</v>
      </c>
      <c r="I207" s="91"/>
      <c r="J207" s="91"/>
      <c r="K207" s="92">
        <f t="shared" si="244"/>
        <v>18</v>
      </c>
      <c r="L207" s="91"/>
      <c r="M207" s="96" t="s">
        <v>24</v>
      </c>
      <c r="N207" s="91" t="s">
        <v>81</v>
      </c>
      <c r="P207" s="95">
        <v>1284266.5913471703</v>
      </c>
      <c r="Q207" s="98">
        <v>0</v>
      </c>
      <c r="R207" s="99">
        <f t="shared" si="267"/>
        <v>0</v>
      </c>
      <c r="S207" s="99">
        <f t="shared" si="246"/>
        <v>0</v>
      </c>
      <c r="T207" s="221">
        <f t="shared" si="268"/>
        <v>0</v>
      </c>
      <c r="V207" s="95">
        <v>1187536.6623598931</v>
      </c>
      <c r="W207" s="98">
        <v>0</v>
      </c>
      <c r="X207" s="99">
        <f t="shared" si="269"/>
        <v>0</v>
      </c>
      <c r="Y207" s="99">
        <f>X207*$Y$2</f>
        <v>0</v>
      </c>
      <c r="Z207" s="221">
        <f t="shared" si="270"/>
        <v>0</v>
      </c>
      <c r="AB207" s="222">
        <f t="shared" si="271"/>
        <v>1187536.6623598931</v>
      </c>
      <c r="AC207" s="98">
        <v>0</v>
      </c>
      <c r="AD207" s="99">
        <f t="shared" si="272"/>
        <v>0</v>
      </c>
      <c r="AE207" s="99">
        <f>AD207*$AE$2</f>
        <v>0</v>
      </c>
      <c r="AF207" s="221">
        <f t="shared" si="273"/>
        <v>0</v>
      </c>
    </row>
    <row r="208" spans="2:32" x14ac:dyDescent="0.2">
      <c r="B208" s="91" t="s">
        <v>127</v>
      </c>
      <c r="C208" s="91" t="s">
        <v>77</v>
      </c>
      <c r="D208" s="91" t="s">
        <v>128</v>
      </c>
      <c r="E208" s="91"/>
      <c r="F208" s="91"/>
      <c r="G208" s="91"/>
      <c r="H208" s="91"/>
      <c r="I208" s="91"/>
      <c r="J208" s="91"/>
      <c r="K208" s="92">
        <f t="shared" si="244"/>
        <v>19</v>
      </c>
      <c r="L208" s="91"/>
      <c r="M208" s="91" t="s">
        <v>175</v>
      </c>
      <c r="N208" s="91"/>
      <c r="P208" s="105"/>
      <c r="Q208" s="98"/>
      <c r="V208" s="95"/>
      <c r="W208" s="98"/>
      <c r="AC208" s="98"/>
    </row>
    <row r="209" spans="2:32" x14ac:dyDescent="0.2">
      <c r="B209" s="91" t="s">
        <v>127</v>
      </c>
      <c r="C209" s="91" t="s">
        <v>77</v>
      </c>
      <c r="D209" s="91" t="s">
        <v>128</v>
      </c>
      <c r="E209" s="91" t="s">
        <v>156</v>
      </c>
      <c r="F209" s="91" t="s">
        <v>155</v>
      </c>
      <c r="G209" s="91" t="s">
        <v>176</v>
      </c>
      <c r="H209" s="91" t="s">
        <v>22</v>
      </c>
      <c r="I209" s="91"/>
      <c r="J209" s="91"/>
      <c r="K209" s="92">
        <f t="shared" si="244"/>
        <v>20</v>
      </c>
      <c r="L209" s="91"/>
      <c r="M209" s="97" t="s">
        <v>22</v>
      </c>
      <c r="N209" s="91" t="s">
        <v>81</v>
      </c>
      <c r="P209" s="95">
        <v>29714.933638630439</v>
      </c>
      <c r="Q209" s="98">
        <v>19.578121277940955</v>
      </c>
      <c r="R209" s="99">
        <f t="shared" ref="R209:R211" si="274">P209*Q209</f>
        <v>581762.57454307401</v>
      </c>
      <c r="S209" s="99">
        <f t="shared" si="246"/>
        <v>17030.763901691065</v>
      </c>
      <c r="T209" s="221">
        <f t="shared" ref="T209:T211" si="275">S209+R209</f>
        <v>598793.33844476508</v>
      </c>
      <c r="V209" s="95">
        <v>25815.785156687623</v>
      </c>
      <c r="W209" s="98">
        <v>19.189147084128276</v>
      </c>
      <c r="X209" s="99">
        <f t="shared" ref="X209:X211" si="276">V209*W209</f>
        <v>495382.89846393431</v>
      </c>
      <c r="Y209" s="99">
        <f>X209*$Y$2</f>
        <v>14502.048694522891</v>
      </c>
      <c r="Z209" s="221">
        <f t="shared" ref="Z209:Z211" si="277">Y209+X209</f>
        <v>509884.94715845719</v>
      </c>
      <c r="AB209" s="222">
        <f t="shared" ref="AB209:AB211" si="278">V209</f>
        <v>25815.785156687623</v>
      </c>
      <c r="AC209" s="98">
        <v>18.754861515083245</v>
      </c>
      <c r="AD209" s="99">
        <f t="shared" ref="AD209:AD211" si="279">AB209*AC209</f>
        <v>484171.475516818</v>
      </c>
      <c r="AE209" s="99">
        <f>AD209*$AE$2</f>
        <v>14173.840752710365</v>
      </c>
      <c r="AF209" s="221">
        <f t="shared" ref="AF209:AF211" si="280">AE209+AD209</f>
        <v>498345.31626952835</v>
      </c>
    </row>
    <row r="210" spans="2:32" x14ac:dyDescent="0.2">
      <c r="B210" s="91" t="s">
        <v>127</v>
      </c>
      <c r="C210" s="91" t="s">
        <v>77</v>
      </c>
      <c r="D210" s="91" t="s">
        <v>128</v>
      </c>
      <c r="E210" s="91" t="s">
        <v>156</v>
      </c>
      <c r="F210" s="91" t="s">
        <v>155</v>
      </c>
      <c r="G210" s="91" t="s">
        <v>176</v>
      </c>
      <c r="H210" s="91" t="s">
        <v>136</v>
      </c>
      <c r="I210" s="91"/>
      <c r="J210" s="91"/>
      <c r="K210" s="92">
        <f t="shared" si="244"/>
        <v>21</v>
      </c>
      <c r="L210" s="91"/>
      <c r="M210" s="97" t="s">
        <v>52</v>
      </c>
      <c r="N210" s="91" t="s">
        <v>81</v>
      </c>
      <c r="P210" s="95">
        <v>37452.645392163526</v>
      </c>
      <c r="Q210" s="98">
        <v>3.45</v>
      </c>
      <c r="R210" s="99">
        <f t="shared" si="274"/>
        <v>129211.62660296417</v>
      </c>
      <c r="S210" s="99">
        <f t="shared" si="246"/>
        <v>3782.5958601013713</v>
      </c>
      <c r="T210" s="221">
        <f t="shared" si="275"/>
        <v>132994.22246306555</v>
      </c>
      <c r="V210" s="95">
        <v>34392.655098238873</v>
      </c>
      <c r="W210" s="98">
        <v>3.45</v>
      </c>
      <c r="X210" s="99">
        <f t="shared" si="276"/>
        <v>118654.66008892412</v>
      </c>
      <c r="Y210" s="99">
        <f>X210*$Y$2</f>
        <v>3473.5467529808466</v>
      </c>
      <c r="Z210" s="221">
        <f t="shared" si="277"/>
        <v>122128.20684190498</v>
      </c>
      <c r="AB210" s="95">
        <f t="shared" si="278"/>
        <v>34392.655098238873</v>
      </c>
      <c r="AC210" s="98">
        <v>3.45</v>
      </c>
      <c r="AD210" s="99">
        <f t="shared" si="279"/>
        <v>118654.66008892412</v>
      </c>
      <c r="AE210" s="99">
        <f>AD210*$AE$2</f>
        <v>3473.5467529808466</v>
      </c>
      <c r="AF210" s="221">
        <f t="shared" si="280"/>
        <v>122128.20684190498</v>
      </c>
    </row>
    <row r="211" spans="2:32" x14ac:dyDescent="0.2">
      <c r="B211" s="91" t="s">
        <v>127</v>
      </c>
      <c r="C211" s="91" t="s">
        <v>77</v>
      </c>
      <c r="D211" s="91" t="s">
        <v>128</v>
      </c>
      <c r="E211" s="91" t="s">
        <v>156</v>
      </c>
      <c r="F211" s="91" t="s">
        <v>155</v>
      </c>
      <c r="G211" s="91" t="s">
        <v>176</v>
      </c>
      <c r="H211" s="91" t="s">
        <v>24</v>
      </c>
      <c r="I211" s="91"/>
      <c r="J211" s="91"/>
      <c r="K211" s="92">
        <f t="shared" si="244"/>
        <v>22</v>
      </c>
      <c r="L211" s="91"/>
      <c r="M211" s="97" t="s">
        <v>24</v>
      </c>
      <c r="N211" s="91" t="s">
        <v>81</v>
      </c>
      <c r="P211" s="95">
        <v>422915.88653118804</v>
      </c>
      <c r="Q211" s="98">
        <v>3.44</v>
      </c>
      <c r="R211" s="99">
        <f t="shared" si="274"/>
        <v>1454830.6496672868</v>
      </c>
      <c r="S211" s="99">
        <f t="shared" si="246"/>
        <v>42589.32835424754</v>
      </c>
      <c r="T211" s="221">
        <f t="shared" si="275"/>
        <v>1497419.9780215344</v>
      </c>
      <c r="V211" s="95">
        <v>388474.72282150667</v>
      </c>
      <c r="W211" s="98">
        <v>3.44</v>
      </c>
      <c r="X211" s="99">
        <f t="shared" si="276"/>
        <v>1336353.046505983</v>
      </c>
      <c r="Y211" s="99">
        <f>X211*$Y$2</f>
        <v>39120.964840724519</v>
      </c>
      <c r="Z211" s="221">
        <f t="shared" si="277"/>
        <v>1375474.0113467076</v>
      </c>
      <c r="AB211" s="95">
        <f t="shared" si="278"/>
        <v>388474.72282150667</v>
      </c>
      <c r="AC211" s="98">
        <v>3.44</v>
      </c>
      <c r="AD211" s="99">
        <f t="shared" si="279"/>
        <v>1336353.046505983</v>
      </c>
      <c r="AE211" s="99">
        <f>AD211*$AE$2</f>
        <v>39120.964840724519</v>
      </c>
      <c r="AF211" s="221">
        <f t="shared" si="280"/>
        <v>1375474.0113467076</v>
      </c>
    </row>
    <row r="212" spans="2:32" x14ac:dyDescent="0.2">
      <c r="B212" s="91" t="s">
        <v>127</v>
      </c>
      <c r="C212" s="91" t="s">
        <v>77</v>
      </c>
      <c r="D212" s="91" t="s">
        <v>128</v>
      </c>
      <c r="E212" s="91"/>
      <c r="F212" s="91"/>
      <c r="G212" s="91"/>
      <c r="H212" s="91"/>
      <c r="I212" s="91"/>
      <c r="J212" s="91"/>
      <c r="K212" s="92">
        <f t="shared" si="244"/>
        <v>23</v>
      </c>
      <c r="L212" s="91"/>
      <c r="M212" s="91" t="s">
        <v>177</v>
      </c>
      <c r="N212" s="91"/>
      <c r="P212" s="95"/>
      <c r="Q212" s="98"/>
      <c r="V212" s="95"/>
      <c r="W212" s="98"/>
      <c r="AB212" s="95"/>
      <c r="AC212" s="98"/>
    </row>
    <row r="213" spans="2:32" x14ac:dyDescent="0.2">
      <c r="B213" s="91" t="s">
        <v>127</v>
      </c>
      <c r="C213" s="91" t="s">
        <v>77</v>
      </c>
      <c r="D213" s="91" t="s">
        <v>128</v>
      </c>
      <c r="E213" s="91" t="s">
        <v>156</v>
      </c>
      <c r="F213" s="91" t="s">
        <v>157</v>
      </c>
      <c r="G213" s="91" t="s">
        <v>176</v>
      </c>
      <c r="H213" s="91" t="s">
        <v>22</v>
      </c>
      <c r="I213" s="91"/>
      <c r="J213" s="91"/>
      <c r="K213" s="92">
        <f t="shared" si="244"/>
        <v>24</v>
      </c>
      <c r="L213" s="91"/>
      <c r="M213" s="97" t="s">
        <v>22</v>
      </c>
      <c r="N213" s="91" t="s">
        <v>81</v>
      </c>
      <c r="P213" s="95">
        <v>38854.30514575167</v>
      </c>
      <c r="Q213" s="98">
        <v>19.195793472602517</v>
      </c>
      <c r="R213" s="99">
        <f t="shared" ref="R213:R215" si="281">P213*Q213</f>
        <v>745839.21709932631</v>
      </c>
      <c r="S213" s="99">
        <f t="shared" si="246"/>
        <v>21834.012999232997</v>
      </c>
      <c r="T213" s="221">
        <f t="shared" ref="T213:T215" si="282">S213+R213</f>
        <v>767673.23009855929</v>
      </c>
      <c r="V213" s="95">
        <v>33886.053256896645</v>
      </c>
      <c r="W213" s="98">
        <v>19.042877283187991</v>
      </c>
      <c r="X213" s="99">
        <f t="shared" ref="X213:X215" si="283">V213*W213</f>
        <v>645287.95378265553</v>
      </c>
      <c r="Y213" s="99">
        <f>X213*$Y$2</f>
        <v>18890.432747602012</v>
      </c>
      <c r="Z213" s="221">
        <f t="shared" ref="Z213:Z215" si="284">Y213+X213</f>
        <v>664178.38653025753</v>
      </c>
      <c r="AB213" s="95">
        <f t="shared" ref="AB213:AB215" si="285">V213</f>
        <v>33886.053256896645</v>
      </c>
      <c r="AC213" s="98">
        <v>18.533674139101798</v>
      </c>
      <c r="AD213" s="99">
        <f t="shared" ref="AD213:AD215" si="286">AB213*AC213</f>
        <v>628033.06892357161</v>
      </c>
      <c r="AE213" s="99">
        <f>AD213*$AE$2</f>
        <v>18385.305943223564</v>
      </c>
      <c r="AF213" s="221">
        <f t="shared" ref="AF213:AF215" si="287">AE213+AD213</f>
        <v>646418.37486679514</v>
      </c>
    </row>
    <row r="214" spans="2:32" x14ac:dyDescent="0.2">
      <c r="B214" s="91" t="s">
        <v>127</v>
      </c>
      <c r="C214" s="91" t="s">
        <v>77</v>
      </c>
      <c r="D214" s="91" t="s">
        <v>128</v>
      </c>
      <c r="E214" s="91" t="s">
        <v>156</v>
      </c>
      <c r="F214" s="91" t="s">
        <v>157</v>
      </c>
      <c r="G214" s="91" t="s">
        <v>176</v>
      </c>
      <c r="H214" s="91" t="s">
        <v>136</v>
      </c>
      <c r="I214" s="91"/>
      <c r="J214" s="91"/>
      <c r="K214" s="92">
        <f t="shared" si="244"/>
        <v>25</v>
      </c>
      <c r="L214" s="91"/>
      <c r="M214" s="97" t="s">
        <v>52</v>
      </c>
      <c r="N214" s="91" t="s">
        <v>81</v>
      </c>
      <c r="P214" s="95">
        <v>64936.753769231233</v>
      </c>
      <c r="Q214" s="98">
        <v>0.65</v>
      </c>
      <c r="R214" s="99">
        <f t="shared" si="281"/>
        <v>42208.889950000303</v>
      </c>
      <c r="S214" s="99">
        <f t="shared" si="246"/>
        <v>1235.6409139166651</v>
      </c>
      <c r="T214" s="221">
        <f t="shared" si="282"/>
        <v>43444.530863916967</v>
      </c>
      <c r="V214" s="95">
        <v>60267.181250809241</v>
      </c>
      <c r="W214" s="98">
        <v>0.65</v>
      </c>
      <c r="X214" s="99">
        <f t="shared" si="283"/>
        <v>39173.667813026004</v>
      </c>
      <c r="Y214" s="99">
        <f>X214*$Y$2</f>
        <v>1146.7865360897736</v>
      </c>
      <c r="Z214" s="221">
        <f t="shared" si="284"/>
        <v>40320.454349115775</v>
      </c>
      <c r="AB214" s="95">
        <f t="shared" si="285"/>
        <v>60267.181250809241</v>
      </c>
      <c r="AC214" s="98">
        <v>0.65</v>
      </c>
      <c r="AD214" s="99">
        <f t="shared" si="286"/>
        <v>39173.667813026004</v>
      </c>
      <c r="AE214" s="99">
        <f>AD214*$AE$2</f>
        <v>1146.7865360897736</v>
      </c>
      <c r="AF214" s="221">
        <f t="shared" si="287"/>
        <v>40320.454349115775</v>
      </c>
    </row>
    <row r="215" spans="2:32" x14ac:dyDescent="0.2">
      <c r="B215" s="91" t="s">
        <v>127</v>
      </c>
      <c r="C215" s="91" t="s">
        <v>77</v>
      </c>
      <c r="D215" s="91" t="s">
        <v>128</v>
      </c>
      <c r="E215" s="91" t="s">
        <v>156</v>
      </c>
      <c r="F215" s="91" t="s">
        <v>157</v>
      </c>
      <c r="G215" s="91" t="s">
        <v>176</v>
      </c>
      <c r="H215" s="91" t="s">
        <v>24</v>
      </c>
      <c r="I215" s="91"/>
      <c r="J215" s="91"/>
      <c r="K215" s="92">
        <f t="shared" si="244"/>
        <v>26</v>
      </c>
      <c r="L215" s="91"/>
      <c r="M215" s="97" t="s">
        <v>24</v>
      </c>
      <c r="N215" s="91" t="s">
        <v>81</v>
      </c>
      <c r="P215" s="95">
        <v>538610.03991401719</v>
      </c>
      <c r="Q215" s="98">
        <v>0.65</v>
      </c>
      <c r="R215" s="99">
        <f t="shared" si="281"/>
        <v>350096.52594411117</v>
      </c>
      <c r="S215" s="99">
        <f t="shared" si="246"/>
        <v>10248.8739170604</v>
      </c>
      <c r="T215" s="221">
        <f t="shared" si="282"/>
        <v>360345.39986117155</v>
      </c>
      <c r="V215" s="95">
        <v>500497.21952498285</v>
      </c>
      <c r="W215" s="98">
        <v>0.65</v>
      </c>
      <c r="X215" s="99">
        <f t="shared" si="283"/>
        <v>325323.19269123889</v>
      </c>
      <c r="Y215" s="99">
        <f>X215*$Y$2</f>
        <v>9523.6488713981653</v>
      </c>
      <c r="Z215" s="221">
        <f t="shared" si="284"/>
        <v>334846.84156263707</v>
      </c>
      <c r="AB215" s="95">
        <f t="shared" si="285"/>
        <v>500497.21952498285</v>
      </c>
      <c r="AC215" s="98">
        <v>0.65</v>
      </c>
      <c r="AD215" s="99">
        <f t="shared" si="286"/>
        <v>325323.19269123889</v>
      </c>
      <c r="AE215" s="99">
        <f>AD215*$AE$2</f>
        <v>9523.6488713981653</v>
      </c>
      <c r="AF215" s="221">
        <f t="shared" si="287"/>
        <v>334846.84156263707</v>
      </c>
    </row>
    <row r="216" spans="2:32" x14ac:dyDescent="0.2">
      <c r="B216" s="91" t="s">
        <v>127</v>
      </c>
      <c r="C216" s="91" t="s">
        <v>77</v>
      </c>
      <c r="D216" s="91" t="s">
        <v>128</v>
      </c>
      <c r="E216" s="91"/>
      <c r="F216" s="91"/>
      <c r="G216" s="91"/>
      <c r="H216" s="91"/>
      <c r="I216" s="91"/>
      <c r="J216" s="91"/>
      <c r="K216" s="92">
        <f t="shared" si="244"/>
        <v>27</v>
      </c>
      <c r="L216" s="91"/>
      <c r="M216" s="100" t="s">
        <v>158</v>
      </c>
      <c r="N216" s="91"/>
      <c r="P216" s="95"/>
      <c r="Q216" s="98"/>
      <c r="V216" s="95"/>
      <c r="W216" s="98"/>
      <c r="AB216" s="95"/>
      <c r="AC216" s="98"/>
    </row>
    <row r="217" spans="2:32" x14ac:dyDescent="0.2">
      <c r="B217" s="91" t="s">
        <v>127</v>
      </c>
      <c r="C217" s="91" t="s">
        <v>77</v>
      </c>
      <c r="D217" s="91" t="s">
        <v>128</v>
      </c>
      <c r="E217" s="91" t="s">
        <v>158</v>
      </c>
      <c r="F217" s="91"/>
      <c r="G217" s="91"/>
      <c r="H217" s="91" t="s">
        <v>22</v>
      </c>
      <c r="I217" s="91"/>
      <c r="J217" s="91"/>
      <c r="K217" s="92">
        <f t="shared" si="244"/>
        <v>28</v>
      </c>
      <c r="L217" s="91"/>
      <c r="M217" s="96" t="s">
        <v>22</v>
      </c>
      <c r="N217" s="91" t="s">
        <v>159</v>
      </c>
      <c r="P217" s="95"/>
      <c r="Q217" s="98">
        <v>0.25</v>
      </c>
      <c r="R217" s="99">
        <f t="shared" ref="R217:R219" si="288">P217*Q217</f>
        <v>0</v>
      </c>
      <c r="S217" s="99">
        <f t="shared" si="246"/>
        <v>0</v>
      </c>
      <c r="T217" s="221">
        <f t="shared" ref="T217:T219" si="289">S217+R217</f>
        <v>0</v>
      </c>
      <c r="V217" s="95"/>
      <c r="W217" s="98">
        <v>0.25</v>
      </c>
      <c r="X217" s="99">
        <f t="shared" ref="X217:X219" si="290">V217*W217</f>
        <v>0</v>
      </c>
      <c r="Y217" s="99">
        <f>X217*$Y$2</f>
        <v>0</v>
      </c>
      <c r="Z217" s="221">
        <f t="shared" ref="Z217:Z219" si="291">Y217+X217</f>
        <v>0</v>
      </c>
      <c r="AB217" s="95">
        <f t="shared" ref="AB217:AB243" si="292">V217</f>
        <v>0</v>
      </c>
      <c r="AC217" s="98">
        <v>0.25</v>
      </c>
      <c r="AD217" s="99">
        <f t="shared" ref="AD217:AD219" si="293">AB217*AC217</f>
        <v>0</v>
      </c>
      <c r="AE217" s="99">
        <f>AD217*$AE$2</f>
        <v>0</v>
      </c>
      <c r="AF217" s="221">
        <f t="shared" ref="AF217:AF219" si="294">AE217+AD217</f>
        <v>0</v>
      </c>
    </row>
    <row r="218" spans="2:32" x14ac:dyDescent="0.2">
      <c r="B218" s="91" t="s">
        <v>127</v>
      </c>
      <c r="C218" s="91" t="s">
        <v>77</v>
      </c>
      <c r="D218" s="91" t="s">
        <v>128</v>
      </c>
      <c r="E218" s="91" t="s">
        <v>158</v>
      </c>
      <c r="F218" s="91"/>
      <c r="G218" s="91"/>
      <c r="H218" s="91" t="s">
        <v>136</v>
      </c>
      <c r="I218" s="91"/>
      <c r="J218" s="91"/>
      <c r="K218" s="92">
        <f t="shared" si="244"/>
        <v>29</v>
      </c>
      <c r="L218" s="91"/>
      <c r="M218" s="96" t="s">
        <v>52</v>
      </c>
      <c r="N218" s="91" t="s">
        <v>159</v>
      </c>
      <c r="P218" s="95"/>
      <c r="Q218" s="98">
        <v>0.25</v>
      </c>
      <c r="R218" s="99">
        <f t="shared" si="288"/>
        <v>0</v>
      </c>
      <c r="S218" s="99">
        <f t="shared" si="246"/>
        <v>0</v>
      </c>
      <c r="T218" s="221">
        <f t="shared" si="289"/>
        <v>0</v>
      </c>
      <c r="V218" s="95"/>
      <c r="W218" s="98">
        <v>0.25</v>
      </c>
      <c r="X218" s="99">
        <f t="shared" si="290"/>
        <v>0</v>
      </c>
      <c r="Y218" s="99">
        <f>X218*$Y$2</f>
        <v>0</v>
      </c>
      <c r="Z218" s="221">
        <f t="shared" si="291"/>
        <v>0</v>
      </c>
      <c r="AB218" s="95">
        <f t="shared" si="292"/>
        <v>0</v>
      </c>
      <c r="AC218" s="98">
        <v>0.25</v>
      </c>
      <c r="AD218" s="99">
        <f t="shared" si="293"/>
        <v>0</v>
      </c>
      <c r="AE218" s="99">
        <f>AD218*$AE$2</f>
        <v>0</v>
      </c>
      <c r="AF218" s="221">
        <f t="shared" si="294"/>
        <v>0</v>
      </c>
    </row>
    <row r="219" spans="2:32" x14ac:dyDescent="0.2">
      <c r="B219" s="91" t="s">
        <v>127</v>
      </c>
      <c r="C219" s="91" t="s">
        <v>77</v>
      </c>
      <c r="D219" s="91" t="s">
        <v>128</v>
      </c>
      <c r="E219" s="91" t="s">
        <v>158</v>
      </c>
      <c r="F219" s="91"/>
      <c r="G219" s="91"/>
      <c r="H219" s="91" t="s">
        <v>24</v>
      </c>
      <c r="I219" s="91"/>
      <c r="J219" s="91"/>
      <c r="K219" s="92">
        <f t="shared" si="244"/>
        <v>30</v>
      </c>
      <c r="L219" s="91"/>
      <c r="M219" s="96" t="s">
        <v>24</v>
      </c>
      <c r="N219" s="91" t="s">
        <v>159</v>
      </c>
      <c r="P219" s="95"/>
      <c r="Q219" s="98">
        <v>0</v>
      </c>
      <c r="R219" s="99">
        <f t="shared" si="288"/>
        <v>0</v>
      </c>
      <c r="S219" s="99">
        <f t="shared" si="246"/>
        <v>0</v>
      </c>
      <c r="T219" s="221">
        <f t="shared" si="289"/>
        <v>0</v>
      </c>
      <c r="V219" s="95"/>
      <c r="W219" s="98">
        <v>0</v>
      </c>
      <c r="X219" s="99">
        <f t="shared" si="290"/>
        <v>0</v>
      </c>
      <c r="Y219" s="99">
        <f>X219*$Y$2</f>
        <v>0</v>
      </c>
      <c r="Z219" s="221">
        <f t="shared" si="291"/>
        <v>0</v>
      </c>
      <c r="AB219" s="95">
        <f t="shared" si="292"/>
        <v>0</v>
      </c>
      <c r="AC219" s="98">
        <v>0</v>
      </c>
      <c r="AD219" s="99">
        <f t="shared" si="293"/>
        <v>0</v>
      </c>
      <c r="AE219" s="99">
        <f>AD219*$AE$2</f>
        <v>0</v>
      </c>
      <c r="AF219" s="221">
        <f t="shared" si="294"/>
        <v>0</v>
      </c>
    </row>
    <row r="220" spans="2:32" x14ac:dyDescent="0.2">
      <c r="B220" s="223" t="s">
        <v>127</v>
      </c>
      <c r="C220" s="107" t="s">
        <v>77</v>
      </c>
      <c r="D220" s="107" t="s">
        <v>128</v>
      </c>
      <c r="E220" s="107"/>
      <c r="F220" s="107"/>
      <c r="G220" s="107"/>
      <c r="H220" s="107"/>
      <c r="I220" s="107"/>
      <c r="J220" s="107"/>
      <c r="K220" s="101">
        <f t="shared" si="244"/>
        <v>31</v>
      </c>
      <c r="L220" s="102"/>
      <c r="M220" s="102" t="s">
        <v>160</v>
      </c>
      <c r="N220" s="102"/>
      <c r="P220" s="95"/>
      <c r="Q220" s="103"/>
      <c r="R220" s="99"/>
      <c r="S220" s="99"/>
      <c r="T220" s="221"/>
      <c r="V220" s="95"/>
      <c r="W220" s="103"/>
      <c r="X220" s="99"/>
      <c r="Y220" s="99"/>
      <c r="Z220" s="221"/>
      <c r="AB220" s="95"/>
      <c r="AC220" s="103"/>
      <c r="AD220" s="99"/>
      <c r="AE220" s="99"/>
      <c r="AF220" s="221"/>
    </row>
    <row r="221" spans="2:32" x14ac:dyDescent="0.2">
      <c r="B221" s="223" t="s">
        <v>127</v>
      </c>
      <c r="C221" s="107" t="s">
        <v>77</v>
      </c>
      <c r="D221" s="107" t="s">
        <v>128</v>
      </c>
      <c r="E221" s="107" t="s">
        <v>161</v>
      </c>
      <c r="F221" s="107" t="s">
        <v>155</v>
      </c>
      <c r="G221" s="107" t="s">
        <v>162</v>
      </c>
      <c r="H221" s="107" t="s">
        <v>22</v>
      </c>
      <c r="I221" s="107"/>
      <c r="J221" s="107"/>
      <c r="K221" s="101">
        <f t="shared" si="244"/>
        <v>32</v>
      </c>
      <c r="L221" s="102"/>
      <c r="M221" s="104" t="s">
        <v>22</v>
      </c>
      <c r="N221" s="102" t="s">
        <v>82</v>
      </c>
      <c r="P221" s="95">
        <v>4165335.4957887209</v>
      </c>
      <c r="Q221" s="103">
        <v>1.0370079234600944E-2</v>
      </c>
      <c r="R221" s="99">
        <f t="shared" ref="R221:R223" si="295">P221*Q221</f>
        <v>43194.859130024844</v>
      </c>
      <c r="S221" s="99">
        <f t="shared" si="246"/>
        <v>1264.5045931117911</v>
      </c>
      <c r="T221" s="221">
        <f t="shared" ref="T221:T223" si="296">S221+R221</f>
        <v>44459.363723136637</v>
      </c>
      <c r="V221" s="95">
        <v>3655606.7516997363</v>
      </c>
      <c r="W221" s="103">
        <v>1.1396652583713227E-2</v>
      </c>
      <c r="X221" s="99">
        <f t="shared" ref="X221:X223" si="297">V221*W221</f>
        <v>41661.680131798319</v>
      </c>
      <c r="Y221" s="99">
        <f t="shared" ref="Y221:Y243" si="298">X221*$Y$2</f>
        <v>1219.6216620323291</v>
      </c>
      <c r="Z221" s="221">
        <f t="shared" ref="Z221:Z223" si="299">Y221+X221</f>
        <v>42881.301793830651</v>
      </c>
      <c r="AB221" s="95">
        <f t="shared" si="292"/>
        <v>3655606.7516997363</v>
      </c>
      <c r="AC221" s="103">
        <v>1.1396652583713227E-2</v>
      </c>
      <c r="AD221" s="99">
        <f t="shared" ref="AD221:AD223" si="300">AB221*AC221</f>
        <v>41661.680131798319</v>
      </c>
      <c r="AE221" s="99">
        <f t="shared" ref="AE221:AE243" si="301">AD221*$AE$2</f>
        <v>1219.6216620323291</v>
      </c>
      <c r="AF221" s="221">
        <f t="shared" ref="AF221:AF223" si="302">AE221+AD221</f>
        <v>42881.301793830651</v>
      </c>
    </row>
    <row r="222" spans="2:32" x14ac:dyDescent="0.2">
      <c r="B222" s="223" t="s">
        <v>127</v>
      </c>
      <c r="C222" s="107" t="s">
        <v>77</v>
      </c>
      <c r="D222" s="107" t="s">
        <v>128</v>
      </c>
      <c r="E222" s="107" t="s">
        <v>161</v>
      </c>
      <c r="F222" s="107" t="s">
        <v>155</v>
      </c>
      <c r="G222" s="107" t="s">
        <v>162</v>
      </c>
      <c r="H222" s="107" t="s">
        <v>136</v>
      </c>
      <c r="I222" s="107"/>
      <c r="J222" s="107"/>
      <c r="K222" s="101">
        <f t="shared" si="244"/>
        <v>33</v>
      </c>
      <c r="L222" s="102"/>
      <c r="M222" s="104" t="s">
        <v>52</v>
      </c>
      <c r="N222" s="102" t="s">
        <v>82</v>
      </c>
      <c r="P222" s="95">
        <v>6976880.8567989077</v>
      </c>
      <c r="Q222" s="103">
        <v>1.0370079234600944E-2</v>
      </c>
      <c r="R222" s="99">
        <f t="shared" si="295"/>
        <v>72350.807295375198</v>
      </c>
      <c r="S222" s="99">
        <f t="shared" si="246"/>
        <v>2118.0281631420939</v>
      </c>
      <c r="T222" s="221">
        <f t="shared" si="296"/>
        <v>74468.835458517293</v>
      </c>
      <c r="V222" s="95">
        <v>6403718.7252848148</v>
      </c>
      <c r="W222" s="103">
        <v>1.1396652583713227E-2</v>
      </c>
      <c r="X222" s="99">
        <f t="shared" si="297"/>
        <v>72980.957555889952</v>
      </c>
      <c r="Y222" s="99">
        <f t="shared" si="298"/>
        <v>2136.4754486482902</v>
      </c>
      <c r="Z222" s="221">
        <f t="shared" si="299"/>
        <v>75117.433004538238</v>
      </c>
      <c r="AB222" s="95">
        <f t="shared" si="292"/>
        <v>6403718.7252848148</v>
      </c>
      <c r="AC222" s="103">
        <v>1.1396652583713227E-2</v>
      </c>
      <c r="AD222" s="99">
        <f t="shared" si="300"/>
        <v>72980.957555889952</v>
      </c>
      <c r="AE222" s="99">
        <f t="shared" si="301"/>
        <v>2136.4754486482902</v>
      </c>
      <c r="AF222" s="221">
        <f t="shared" si="302"/>
        <v>75117.433004538238</v>
      </c>
    </row>
    <row r="223" spans="2:32" x14ac:dyDescent="0.2">
      <c r="B223" s="223" t="s">
        <v>127</v>
      </c>
      <c r="C223" s="107" t="s">
        <v>77</v>
      </c>
      <c r="D223" s="107" t="s">
        <v>128</v>
      </c>
      <c r="E223" s="107" t="s">
        <v>161</v>
      </c>
      <c r="F223" s="107" t="s">
        <v>155</v>
      </c>
      <c r="G223" s="107" t="s">
        <v>162</v>
      </c>
      <c r="H223" s="107" t="s">
        <v>24</v>
      </c>
      <c r="I223" s="107"/>
      <c r="J223" s="107"/>
      <c r="K223" s="101">
        <f t="shared" si="244"/>
        <v>34</v>
      </c>
      <c r="L223" s="102"/>
      <c r="M223" s="104" t="s">
        <v>24</v>
      </c>
      <c r="N223" s="102" t="s">
        <v>82</v>
      </c>
      <c r="P223" s="95">
        <v>59306004.618581809</v>
      </c>
      <c r="Q223" s="103">
        <v>1.0370079234600944E-2</v>
      </c>
      <c r="R223" s="99">
        <f t="shared" si="295"/>
        <v>615007.96698230284</v>
      </c>
      <c r="S223" s="99">
        <f t="shared" si="246"/>
        <v>18004.003594698595</v>
      </c>
      <c r="T223" s="221">
        <f t="shared" si="296"/>
        <v>633011.97057700146</v>
      </c>
      <c r="V223" s="95">
        <v>54481203.803841144</v>
      </c>
      <c r="W223" s="103">
        <v>1.1396652583713227E-2</v>
      </c>
      <c r="X223" s="99">
        <f t="shared" si="297"/>
        <v>620903.35209485306</v>
      </c>
      <c r="Y223" s="99">
        <f t="shared" si="298"/>
        <v>18176.587594348701</v>
      </c>
      <c r="Z223" s="221">
        <f t="shared" si="299"/>
        <v>639079.93968920177</v>
      </c>
      <c r="AB223" s="95">
        <f t="shared" si="292"/>
        <v>54481203.803841144</v>
      </c>
      <c r="AC223" s="103">
        <v>1.1396652583713227E-2</v>
      </c>
      <c r="AD223" s="99">
        <f t="shared" si="300"/>
        <v>620903.35209485306</v>
      </c>
      <c r="AE223" s="99">
        <f t="shared" si="301"/>
        <v>18176.587594348701</v>
      </c>
      <c r="AF223" s="221">
        <f t="shared" si="302"/>
        <v>639079.93968920177</v>
      </c>
    </row>
    <row r="224" spans="2:32" x14ac:dyDescent="0.2">
      <c r="B224" s="223" t="s">
        <v>127</v>
      </c>
      <c r="C224" s="107" t="s">
        <v>77</v>
      </c>
      <c r="D224" s="107" t="s">
        <v>128</v>
      </c>
      <c r="E224" s="107"/>
      <c r="F224" s="107"/>
      <c r="G224" s="107"/>
      <c r="H224" s="107"/>
      <c r="I224" s="107"/>
      <c r="J224" s="107"/>
      <c r="K224" s="101">
        <f t="shared" si="244"/>
        <v>35</v>
      </c>
      <c r="L224" s="102"/>
      <c r="M224" s="102" t="s">
        <v>163</v>
      </c>
      <c r="N224" s="102"/>
      <c r="P224" s="95"/>
      <c r="Q224" s="103"/>
      <c r="V224" s="95"/>
      <c r="W224" s="103"/>
      <c r="AB224" s="95"/>
      <c r="AC224" s="103"/>
    </row>
    <row r="225" spans="2:32" x14ac:dyDescent="0.2">
      <c r="B225" s="223" t="s">
        <v>127</v>
      </c>
      <c r="C225" s="107" t="s">
        <v>77</v>
      </c>
      <c r="D225" s="107" t="s">
        <v>128</v>
      </c>
      <c r="E225" s="107" t="s">
        <v>161</v>
      </c>
      <c r="F225" s="107" t="s">
        <v>155</v>
      </c>
      <c r="G225" s="107" t="s">
        <v>164</v>
      </c>
      <c r="H225" s="107" t="s">
        <v>22</v>
      </c>
      <c r="I225" s="107"/>
      <c r="J225" s="107"/>
      <c r="K225" s="101">
        <f t="shared" si="244"/>
        <v>36</v>
      </c>
      <c r="L225" s="102"/>
      <c r="M225" s="104" t="s">
        <v>22</v>
      </c>
      <c r="N225" s="102" t="s">
        <v>82</v>
      </c>
      <c r="P225" s="95">
        <v>11956254.720378915</v>
      </c>
      <c r="Q225" s="103">
        <v>1.0370079234600944E-2</v>
      </c>
      <c r="R225" s="99">
        <f t="shared" ref="R225:R227" si="303">P225*Q225</f>
        <v>123987.3087994009</v>
      </c>
      <c r="S225" s="99">
        <f t="shared" si="246"/>
        <v>3629.6569689570429</v>
      </c>
      <c r="T225" s="221">
        <f t="shared" ref="T225:T227" si="304">S225+R225</f>
        <v>127616.96576835794</v>
      </c>
      <c r="V225" s="95">
        <v>10416825.481432235</v>
      </c>
      <c r="W225" s="103">
        <v>1.1396652583713227E-2</v>
      </c>
      <c r="X225" s="99">
        <f t="shared" ref="X225:X227" si="305">V225*W225</f>
        <v>118716.94103705446</v>
      </c>
      <c r="Y225" s="99">
        <f t="shared" si="298"/>
        <v>3475.3699918236243</v>
      </c>
      <c r="Z225" s="221">
        <f t="shared" ref="Z225:Z227" si="306">Y225+X225</f>
        <v>122192.31102887809</v>
      </c>
      <c r="AB225" s="95">
        <f t="shared" si="292"/>
        <v>10416825.481432235</v>
      </c>
      <c r="AC225" s="103">
        <v>1.1396652583713227E-2</v>
      </c>
      <c r="AD225" s="99">
        <f t="shared" ref="AD225:AD227" si="307">AB225*AC225</f>
        <v>118716.94103705446</v>
      </c>
      <c r="AE225" s="99">
        <f t="shared" si="301"/>
        <v>3475.3699918236243</v>
      </c>
      <c r="AF225" s="221">
        <f t="shared" ref="AF225:AF227" si="308">AE225+AD225</f>
        <v>122192.31102887809</v>
      </c>
    </row>
    <row r="226" spans="2:32" x14ac:dyDescent="0.2">
      <c r="B226" s="223" t="s">
        <v>127</v>
      </c>
      <c r="C226" s="107" t="s">
        <v>77</v>
      </c>
      <c r="D226" s="107" t="s">
        <v>128</v>
      </c>
      <c r="E226" s="107" t="s">
        <v>161</v>
      </c>
      <c r="F226" s="107" t="s">
        <v>155</v>
      </c>
      <c r="G226" s="107" t="s">
        <v>164</v>
      </c>
      <c r="H226" s="107" t="s">
        <v>136</v>
      </c>
      <c r="I226" s="107"/>
      <c r="J226" s="107"/>
      <c r="K226" s="101">
        <f t="shared" si="244"/>
        <v>37</v>
      </c>
      <c r="L226" s="102"/>
      <c r="M226" s="104" t="s">
        <v>52</v>
      </c>
      <c r="N226" s="102" t="s">
        <v>82</v>
      </c>
      <c r="P226" s="95">
        <v>16446042.393101709</v>
      </c>
      <c r="Q226" s="103">
        <v>1.0370079234600944E-2</v>
      </c>
      <c r="R226" s="99">
        <f t="shared" si="303"/>
        <v>170546.76271207083</v>
      </c>
      <c r="S226" s="99">
        <f t="shared" si="246"/>
        <v>4992.6581341680203</v>
      </c>
      <c r="T226" s="221">
        <f t="shared" si="304"/>
        <v>175539.42084623885</v>
      </c>
      <c r="V226" s="95">
        <v>15094973.210973494</v>
      </c>
      <c r="W226" s="103">
        <v>1.1396652583713227E-2</v>
      </c>
      <c r="X226" s="99">
        <f t="shared" si="305"/>
        <v>172032.16544592302</v>
      </c>
      <c r="Y226" s="99">
        <f t="shared" si="298"/>
        <v>5036.1424426576687</v>
      </c>
      <c r="Z226" s="221">
        <f t="shared" si="306"/>
        <v>177068.30788858069</v>
      </c>
      <c r="AB226" s="95">
        <f t="shared" si="292"/>
        <v>15094973.210973494</v>
      </c>
      <c r="AC226" s="103">
        <v>1.1396652583713227E-2</v>
      </c>
      <c r="AD226" s="99">
        <f t="shared" si="307"/>
        <v>172032.16544592302</v>
      </c>
      <c r="AE226" s="99">
        <f t="shared" si="301"/>
        <v>5036.1424426576687</v>
      </c>
      <c r="AF226" s="221">
        <f t="shared" si="308"/>
        <v>177068.30788858069</v>
      </c>
    </row>
    <row r="227" spans="2:32" x14ac:dyDescent="0.2">
      <c r="B227" s="223" t="s">
        <v>127</v>
      </c>
      <c r="C227" s="107" t="s">
        <v>77</v>
      </c>
      <c r="D227" s="107" t="s">
        <v>128</v>
      </c>
      <c r="E227" s="107" t="s">
        <v>161</v>
      </c>
      <c r="F227" s="107" t="s">
        <v>155</v>
      </c>
      <c r="G227" s="107" t="s">
        <v>164</v>
      </c>
      <c r="H227" s="107" t="s">
        <v>24</v>
      </c>
      <c r="I227" s="107"/>
      <c r="J227" s="107"/>
      <c r="K227" s="101">
        <f t="shared" si="244"/>
        <v>38</v>
      </c>
      <c r="L227" s="102"/>
      <c r="M227" s="104" t="s">
        <v>24</v>
      </c>
      <c r="N227" s="102" t="s">
        <v>82</v>
      </c>
      <c r="P227" s="95">
        <v>131447517.86628538</v>
      </c>
      <c r="Q227" s="103">
        <v>1.0370079234600944E-2</v>
      </c>
      <c r="R227" s="99">
        <f t="shared" si="303"/>
        <v>1363121.1754650027</v>
      </c>
      <c r="S227" s="99">
        <f t="shared" si="246"/>
        <v>39904.586380403554</v>
      </c>
      <c r="T227" s="221">
        <f t="shared" si="304"/>
        <v>1403025.7618454061</v>
      </c>
      <c r="V227" s="95">
        <v>120753691.91433142</v>
      </c>
      <c r="W227" s="103">
        <v>1.1396652583713227E-2</v>
      </c>
      <c r="X227" s="99">
        <f t="shared" si="305"/>
        <v>1376187.8749483763</v>
      </c>
      <c r="Y227" s="99">
        <f t="shared" si="298"/>
        <v>40287.106472986809</v>
      </c>
      <c r="Z227" s="221">
        <f t="shared" si="306"/>
        <v>1416474.9814213631</v>
      </c>
      <c r="AB227" s="95">
        <f t="shared" si="292"/>
        <v>120753691.91433142</v>
      </c>
      <c r="AC227" s="103">
        <v>1.1396652583713227E-2</v>
      </c>
      <c r="AD227" s="99">
        <f t="shared" si="307"/>
        <v>1376187.8749483763</v>
      </c>
      <c r="AE227" s="99">
        <f t="shared" si="301"/>
        <v>40287.106472986809</v>
      </c>
      <c r="AF227" s="221">
        <f t="shared" si="308"/>
        <v>1416474.9814213631</v>
      </c>
    </row>
    <row r="228" spans="2:32" x14ac:dyDescent="0.2">
      <c r="B228" s="223" t="s">
        <v>127</v>
      </c>
      <c r="C228" s="107" t="s">
        <v>77</v>
      </c>
      <c r="D228" s="107" t="s">
        <v>128</v>
      </c>
      <c r="E228" s="107"/>
      <c r="F228" s="107"/>
      <c r="G228" s="107"/>
      <c r="H228" s="107"/>
      <c r="I228" s="107"/>
      <c r="J228" s="107"/>
      <c r="K228" s="101">
        <f t="shared" si="244"/>
        <v>39</v>
      </c>
      <c r="L228" s="102"/>
      <c r="M228" s="102" t="s">
        <v>165</v>
      </c>
      <c r="N228" s="102"/>
      <c r="P228" s="95"/>
      <c r="Q228" s="103"/>
      <c r="V228" s="95"/>
      <c r="W228" s="103"/>
      <c r="AB228" s="95"/>
      <c r="AC228" s="103"/>
    </row>
    <row r="229" spans="2:32" x14ac:dyDescent="0.2">
      <c r="B229" s="223" t="s">
        <v>127</v>
      </c>
      <c r="C229" s="107" t="s">
        <v>77</v>
      </c>
      <c r="D229" s="107" t="s">
        <v>128</v>
      </c>
      <c r="E229" s="107" t="s">
        <v>161</v>
      </c>
      <c r="F229" s="107" t="s">
        <v>155</v>
      </c>
      <c r="G229" s="107" t="s">
        <v>166</v>
      </c>
      <c r="H229" s="107" t="s">
        <v>22</v>
      </c>
      <c r="I229" s="107"/>
      <c r="J229" s="107"/>
      <c r="K229" s="101">
        <f t="shared" si="244"/>
        <v>40</v>
      </c>
      <c r="L229" s="102"/>
      <c r="M229" s="104" t="s">
        <v>22</v>
      </c>
      <c r="N229" s="102" t="s">
        <v>82</v>
      </c>
      <c r="P229" s="95">
        <v>5938225.9421842787</v>
      </c>
      <c r="Q229" s="103">
        <v>1.0370079234600944E-2</v>
      </c>
      <c r="R229" s="99">
        <f t="shared" ref="R229:R231" si="309">P229*Q229</f>
        <v>61579.873533413811</v>
      </c>
      <c r="S229" s="99">
        <f t="shared" ref="S229:S231" si="310">R229*$S$2</f>
        <v>1802.715288220925</v>
      </c>
      <c r="T229" s="221">
        <f t="shared" ref="T229:T231" si="311">S229+R229</f>
        <v>63382.588821634738</v>
      </c>
      <c r="V229" s="95">
        <v>5233085.1647197884</v>
      </c>
      <c r="W229" s="103">
        <v>1.1396652583713227E-2</v>
      </c>
      <c r="X229" s="99">
        <f t="shared" ref="X229:X231" si="312">V229*W229</f>
        <v>59639.653563295135</v>
      </c>
      <c r="Y229" s="99">
        <f t="shared" si="298"/>
        <v>1745.9164674057665</v>
      </c>
      <c r="Z229" s="221">
        <f t="shared" ref="Z229:Z231" si="313">Y229+X229</f>
        <v>61385.570030700903</v>
      </c>
      <c r="AB229" s="95">
        <f t="shared" si="292"/>
        <v>5233085.1647197884</v>
      </c>
      <c r="AC229" s="103">
        <v>1.1396652583713227E-2</v>
      </c>
      <c r="AD229" s="99">
        <f t="shared" ref="AD229:AD231" si="314">AB229*AC229</f>
        <v>59639.653563295135</v>
      </c>
      <c r="AE229" s="99">
        <f t="shared" si="301"/>
        <v>1745.9164674057665</v>
      </c>
      <c r="AF229" s="221">
        <f t="shared" ref="AF229:AF231" si="315">AE229+AD229</f>
        <v>61385.570030700903</v>
      </c>
    </row>
    <row r="230" spans="2:32" x14ac:dyDescent="0.2">
      <c r="B230" s="223" t="s">
        <v>127</v>
      </c>
      <c r="C230" s="107" t="s">
        <v>77</v>
      </c>
      <c r="D230" s="107" t="s">
        <v>128</v>
      </c>
      <c r="E230" s="107" t="s">
        <v>161</v>
      </c>
      <c r="F230" s="107" t="s">
        <v>155</v>
      </c>
      <c r="G230" s="107" t="s">
        <v>166</v>
      </c>
      <c r="H230" s="107" t="s">
        <v>136</v>
      </c>
      <c r="I230" s="107"/>
      <c r="J230" s="107"/>
      <c r="K230" s="101">
        <f t="shared" si="244"/>
        <v>41</v>
      </c>
      <c r="L230" s="102"/>
      <c r="M230" s="104" t="s">
        <v>52</v>
      </c>
      <c r="N230" s="102" t="s">
        <v>82</v>
      </c>
      <c r="P230" s="95">
        <v>10571845.903698158</v>
      </c>
      <c r="Q230" s="103">
        <v>1.0370079234600944E-2</v>
      </c>
      <c r="R230" s="99">
        <f t="shared" si="309"/>
        <v>109630.87967734131</v>
      </c>
      <c r="S230" s="99">
        <f t="shared" si="310"/>
        <v>3209.3807849120417</v>
      </c>
      <c r="T230" s="221">
        <f t="shared" si="311"/>
        <v>112840.26046225334</v>
      </c>
      <c r="V230" s="95">
        <v>9703351.535430802</v>
      </c>
      <c r="W230" s="103">
        <v>1.1396652583713227E-2</v>
      </c>
      <c r="X230" s="99">
        <f t="shared" si="312"/>
        <v>110585.72634694516</v>
      </c>
      <c r="Y230" s="99">
        <f t="shared" si="298"/>
        <v>3237.3333705611126</v>
      </c>
      <c r="Z230" s="221">
        <f t="shared" si="313"/>
        <v>113823.05971750627</v>
      </c>
      <c r="AB230" s="95">
        <f t="shared" si="292"/>
        <v>9703351.535430802</v>
      </c>
      <c r="AC230" s="103">
        <v>1.1396652583713227E-2</v>
      </c>
      <c r="AD230" s="99">
        <f t="shared" si="314"/>
        <v>110585.72634694516</v>
      </c>
      <c r="AE230" s="99">
        <f t="shared" si="301"/>
        <v>3237.3333705611126</v>
      </c>
      <c r="AF230" s="221">
        <f t="shared" si="315"/>
        <v>113823.05971750627</v>
      </c>
    </row>
    <row r="231" spans="2:32" x14ac:dyDescent="0.2">
      <c r="B231" s="223" t="s">
        <v>127</v>
      </c>
      <c r="C231" s="107" t="s">
        <v>77</v>
      </c>
      <c r="D231" s="107" t="s">
        <v>128</v>
      </c>
      <c r="E231" s="107" t="s">
        <v>161</v>
      </c>
      <c r="F231" s="107" t="s">
        <v>155</v>
      </c>
      <c r="G231" s="107" t="s">
        <v>166</v>
      </c>
      <c r="H231" s="107" t="s">
        <v>24</v>
      </c>
      <c r="I231" s="107"/>
      <c r="J231" s="107"/>
      <c r="K231" s="101">
        <f t="shared" si="244"/>
        <v>42</v>
      </c>
      <c r="L231" s="102"/>
      <c r="M231" s="104" t="s">
        <v>24</v>
      </c>
      <c r="N231" s="102" t="s">
        <v>82</v>
      </c>
      <c r="P231" s="95">
        <v>95350867.203182146</v>
      </c>
      <c r="Q231" s="103">
        <v>1.0370079234600944E-2</v>
      </c>
      <c r="R231" s="99">
        <f t="shared" si="309"/>
        <v>988796.04798491136</v>
      </c>
      <c r="S231" s="99">
        <f t="shared" si="310"/>
        <v>28946.434124578387</v>
      </c>
      <c r="T231" s="221">
        <f t="shared" si="311"/>
        <v>1017742.4821094897</v>
      </c>
      <c r="V231" s="95">
        <v>87593660.412286639</v>
      </c>
      <c r="W231" s="103">
        <v>1.1396652583713227E-2</v>
      </c>
      <c r="X231" s="99">
        <f t="shared" si="312"/>
        <v>998274.51625458559</v>
      </c>
      <c r="Y231" s="99">
        <f t="shared" si="298"/>
        <v>29223.91081750123</v>
      </c>
      <c r="Z231" s="221">
        <f t="shared" si="313"/>
        <v>1027498.4270720868</v>
      </c>
      <c r="AB231" s="95">
        <f t="shared" si="292"/>
        <v>87593660.412286639</v>
      </c>
      <c r="AC231" s="103">
        <v>1.1396652583713227E-2</v>
      </c>
      <c r="AD231" s="99">
        <f t="shared" si="314"/>
        <v>998274.51625458559</v>
      </c>
      <c r="AE231" s="99">
        <f t="shared" si="301"/>
        <v>29223.91081750123</v>
      </c>
      <c r="AF231" s="221">
        <f t="shared" si="315"/>
        <v>1027498.4270720868</v>
      </c>
    </row>
    <row r="232" spans="2:32" x14ac:dyDescent="0.2">
      <c r="B232" s="223" t="s">
        <v>127</v>
      </c>
      <c r="C232" s="107" t="s">
        <v>77</v>
      </c>
      <c r="D232" s="107" t="s">
        <v>128</v>
      </c>
      <c r="E232" s="107"/>
      <c r="F232" s="107"/>
      <c r="G232" s="107"/>
      <c r="H232" s="107"/>
      <c r="I232" s="107"/>
      <c r="J232" s="107"/>
      <c r="K232" s="101">
        <f t="shared" si="244"/>
        <v>43</v>
      </c>
      <c r="L232" s="102"/>
      <c r="M232" s="102" t="s">
        <v>167</v>
      </c>
      <c r="N232" s="102"/>
      <c r="P232" s="95"/>
      <c r="Q232" s="103"/>
      <c r="V232" s="95"/>
      <c r="W232" s="103"/>
      <c r="AB232" s="95"/>
      <c r="AC232" s="103"/>
    </row>
    <row r="233" spans="2:32" x14ac:dyDescent="0.2">
      <c r="B233" s="223" t="s">
        <v>127</v>
      </c>
      <c r="C233" s="107" t="s">
        <v>77</v>
      </c>
      <c r="D233" s="107" t="s">
        <v>128</v>
      </c>
      <c r="E233" s="107" t="s">
        <v>161</v>
      </c>
      <c r="F233" s="107" t="s">
        <v>157</v>
      </c>
      <c r="G233" s="107" t="s">
        <v>162</v>
      </c>
      <c r="H233" s="107" t="s">
        <v>22</v>
      </c>
      <c r="I233" s="107"/>
      <c r="J233" s="107"/>
      <c r="K233" s="101">
        <f t="shared" si="244"/>
        <v>44</v>
      </c>
      <c r="L233" s="102"/>
      <c r="M233" s="104" t="s">
        <v>22</v>
      </c>
      <c r="N233" s="102" t="s">
        <v>82</v>
      </c>
      <c r="P233" s="95">
        <v>5518780.3154946594</v>
      </c>
      <c r="Q233" s="103">
        <v>1.0370079234600944E-2</v>
      </c>
      <c r="R233" s="99">
        <f t="shared" ref="R233:R235" si="316">P233*Q233</f>
        <v>57230.189150035614</v>
      </c>
      <c r="S233" s="99">
        <f t="shared" ref="S233:S235" si="317">R233*$S$2</f>
        <v>1675.380786103168</v>
      </c>
      <c r="T233" s="221">
        <f t="shared" ref="T233:T235" si="318">S233+R233</f>
        <v>58905.569936138781</v>
      </c>
      <c r="V233" s="95">
        <v>4844933.4061043207</v>
      </c>
      <c r="W233" s="103">
        <v>1.1396652583713227E-2</v>
      </c>
      <c r="X233" s="99">
        <f t="shared" ref="X233:X235" si="319">V233*W233</f>
        <v>55216.022820597333</v>
      </c>
      <c r="Y233" s="99">
        <f t="shared" si="298"/>
        <v>1616.4172282594186</v>
      </c>
      <c r="Z233" s="221">
        <f t="shared" ref="Z233:Z235" si="320">Y233+X233</f>
        <v>56832.440048856748</v>
      </c>
      <c r="AB233" s="95">
        <f t="shared" si="292"/>
        <v>4844933.4061043207</v>
      </c>
      <c r="AC233" s="103">
        <v>1.1396652583713227E-2</v>
      </c>
      <c r="AD233" s="99">
        <f t="shared" ref="AD233:AD235" si="321">AB233*AC233</f>
        <v>55216.022820597333</v>
      </c>
      <c r="AE233" s="99">
        <f t="shared" si="301"/>
        <v>1616.4172282594186</v>
      </c>
      <c r="AF233" s="221">
        <f t="shared" ref="AF233:AF235" si="322">AE233+AD233</f>
        <v>56832.440048856748</v>
      </c>
    </row>
    <row r="234" spans="2:32" x14ac:dyDescent="0.2">
      <c r="B234" s="223" t="s">
        <v>127</v>
      </c>
      <c r="C234" s="107" t="s">
        <v>77</v>
      </c>
      <c r="D234" s="107" t="s">
        <v>128</v>
      </c>
      <c r="E234" s="107" t="s">
        <v>161</v>
      </c>
      <c r="F234" s="107" t="s">
        <v>157</v>
      </c>
      <c r="G234" s="107" t="s">
        <v>162</v>
      </c>
      <c r="H234" s="107" t="s">
        <v>136</v>
      </c>
      <c r="I234" s="107"/>
      <c r="J234" s="107"/>
      <c r="K234" s="101">
        <f t="shared" si="244"/>
        <v>45</v>
      </c>
      <c r="L234" s="102"/>
      <c r="M234" s="104" t="s">
        <v>52</v>
      </c>
      <c r="N234" s="102" t="s">
        <v>82</v>
      </c>
      <c r="P234" s="95">
        <v>9528527.4382747225</v>
      </c>
      <c r="Q234" s="103">
        <v>1.0370079234600944E-2</v>
      </c>
      <c r="R234" s="99">
        <f t="shared" si="316"/>
        <v>98811.584523978032</v>
      </c>
      <c r="S234" s="99">
        <f t="shared" si="317"/>
        <v>2892.6521581447355</v>
      </c>
      <c r="T234" s="221">
        <f t="shared" si="318"/>
        <v>101704.23668212276</v>
      </c>
      <c r="V234" s="95">
        <v>8846048.9998056162</v>
      </c>
      <c r="W234" s="103">
        <v>1.1396652583713227E-2</v>
      </c>
      <c r="X234" s="99">
        <f t="shared" si="319"/>
        <v>100815.34718928848</v>
      </c>
      <c r="Y234" s="99">
        <f t="shared" si="298"/>
        <v>2951.3111547203202</v>
      </c>
      <c r="Z234" s="221">
        <f t="shared" si="320"/>
        <v>103766.6583440088</v>
      </c>
      <c r="AB234" s="95">
        <f t="shared" si="292"/>
        <v>8846048.9998056162</v>
      </c>
      <c r="AC234" s="103">
        <v>1.1396652583713227E-2</v>
      </c>
      <c r="AD234" s="99">
        <f t="shared" si="321"/>
        <v>100815.34718928848</v>
      </c>
      <c r="AE234" s="99">
        <f t="shared" si="301"/>
        <v>2951.3111547203202</v>
      </c>
      <c r="AF234" s="221">
        <f t="shared" si="322"/>
        <v>103766.6583440088</v>
      </c>
    </row>
    <row r="235" spans="2:32" x14ac:dyDescent="0.2">
      <c r="B235" s="223" t="s">
        <v>127</v>
      </c>
      <c r="C235" s="107" t="s">
        <v>77</v>
      </c>
      <c r="D235" s="107" t="s">
        <v>128</v>
      </c>
      <c r="E235" s="107" t="s">
        <v>161</v>
      </c>
      <c r="F235" s="107" t="s">
        <v>157</v>
      </c>
      <c r="G235" s="107" t="s">
        <v>162</v>
      </c>
      <c r="H235" s="107" t="s">
        <v>24</v>
      </c>
      <c r="I235" s="107"/>
      <c r="J235" s="107"/>
      <c r="K235" s="101">
        <f t="shared" si="244"/>
        <v>46</v>
      </c>
      <c r="L235" s="102"/>
      <c r="M235" s="104" t="s">
        <v>24</v>
      </c>
      <c r="N235" s="102" t="s">
        <v>82</v>
      </c>
      <c r="P235" s="95">
        <v>79378979.689134613</v>
      </c>
      <c r="Q235" s="103">
        <v>1.0370079234600944E-2</v>
      </c>
      <c r="R235" s="99">
        <f t="shared" si="316"/>
        <v>823166.30893810489</v>
      </c>
      <c r="S235" s="99">
        <f t="shared" si="317"/>
        <v>24097.719022854344</v>
      </c>
      <c r="T235" s="221">
        <f t="shared" si="318"/>
        <v>847264.02796095924</v>
      </c>
      <c r="V235" s="95">
        <v>73757493.709037423</v>
      </c>
      <c r="W235" s="103">
        <v>1.1396652583713227E-2</v>
      </c>
      <c r="X235" s="99">
        <f t="shared" si="319"/>
        <v>840588.53124731348</v>
      </c>
      <c r="Y235" s="99">
        <f t="shared" si="298"/>
        <v>24607.744534591584</v>
      </c>
      <c r="Z235" s="221">
        <f t="shared" si="320"/>
        <v>865196.27578190505</v>
      </c>
      <c r="AB235" s="95">
        <f t="shared" si="292"/>
        <v>73757493.709037423</v>
      </c>
      <c r="AC235" s="103">
        <v>1.1396652583713227E-2</v>
      </c>
      <c r="AD235" s="99">
        <f t="shared" si="321"/>
        <v>840588.53124731348</v>
      </c>
      <c r="AE235" s="99">
        <f t="shared" si="301"/>
        <v>24607.744534591584</v>
      </c>
      <c r="AF235" s="221">
        <f t="shared" si="322"/>
        <v>865196.27578190505</v>
      </c>
    </row>
    <row r="236" spans="2:32" x14ac:dyDescent="0.2">
      <c r="B236" s="223" t="s">
        <v>127</v>
      </c>
      <c r="C236" s="107" t="s">
        <v>77</v>
      </c>
      <c r="D236" s="107" t="s">
        <v>128</v>
      </c>
      <c r="E236" s="107"/>
      <c r="F236" s="107"/>
      <c r="G236" s="107"/>
      <c r="H236" s="107"/>
      <c r="I236" s="107"/>
      <c r="J236" s="107"/>
      <c r="K236" s="101">
        <f t="shared" si="244"/>
        <v>47</v>
      </c>
      <c r="L236" s="102"/>
      <c r="M236" s="102" t="s">
        <v>168</v>
      </c>
      <c r="N236" s="102"/>
      <c r="P236" s="95"/>
      <c r="Q236" s="103"/>
      <c r="V236" s="95"/>
      <c r="W236" s="103"/>
      <c r="AB236" s="95"/>
      <c r="AC236" s="103"/>
    </row>
    <row r="237" spans="2:32" x14ac:dyDescent="0.2">
      <c r="B237" s="223" t="s">
        <v>127</v>
      </c>
      <c r="C237" s="107" t="s">
        <v>77</v>
      </c>
      <c r="D237" s="107" t="s">
        <v>128</v>
      </c>
      <c r="E237" s="107" t="s">
        <v>161</v>
      </c>
      <c r="F237" s="107" t="s">
        <v>157</v>
      </c>
      <c r="G237" s="107" t="s">
        <v>164</v>
      </c>
      <c r="H237" s="107" t="s">
        <v>22</v>
      </c>
      <c r="I237" s="107"/>
      <c r="J237" s="107"/>
      <c r="K237" s="101">
        <f t="shared" si="244"/>
        <v>48</v>
      </c>
      <c r="L237" s="102"/>
      <c r="M237" s="104" t="s">
        <v>22</v>
      </c>
      <c r="N237" s="102" t="s">
        <v>82</v>
      </c>
      <c r="P237" s="95">
        <v>14297470.364830174</v>
      </c>
      <c r="Q237" s="103">
        <v>1.0370079234600944E-2</v>
      </c>
      <c r="R237" s="99">
        <f t="shared" ref="R237:R239" si="323">P237*Q237</f>
        <v>148265.90053764777</v>
      </c>
      <c r="S237" s="99">
        <f t="shared" ref="S237:S239" si="324">R237*$S$2</f>
        <v>4340.39874206678</v>
      </c>
      <c r="T237" s="221">
        <f t="shared" ref="T237:T239" si="325">S237+R237</f>
        <v>152606.29927971456</v>
      </c>
      <c r="V237" s="95">
        <v>12554459.106201379</v>
      </c>
      <c r="W237" s="103">
        <v>1.1396652583713227E-2</v>
      </c>
      <c r="X237" s="99">
        <f t="shared" ref="X237:X239" si="326">V237*W237</f>
        <v>143078.80880981201</v>
      </c>
      <c r="Y237" s="99">
        <f t="shared" si="298"/>
        <v>4188.5496228232987</v>
      </c>
      <c r="Z237" s="221">
        <f t="shared" ref="Z237:Z239" si="327">Y237+X237</f>
        <v>147267.35843263532</v>
      </c>
      <c r="AB237" s="95">
        <f t="shared" si="292"/>
        <v>12554459.106201379</v>
      </c>
      <c r="AC237" s="103">
        <v>1.1396652583713227E-2</v>
      </c>
      <c r="AD237" s="99">
        <f t="shared" ref="AD237:AD239" si="328">AB237*AC237</f>
        <v>143078.80880981201</v>
      </c>
      <c r="AE237" s="99">
        <f t="shared" si="301"/>
        <v>4188.5496228232987</v>
      </c>
      <c r="AF237" s="221">
        <f t="shared" ref="AF237:AF239" si="329">AE237+AD237</f>
        <v>147267.35843263532</v>
      </c>
    </row>
    <row r="238" spans="2:32" x14ac:dyDescent="0.2">
      <c r="B238" s="223" t="s">
        <v>127</v>
      </c>
      <c r="C238" s="107" t="s">
        <v>77</v>
      </c>
      <c r="D238" s="107" t="s">
        <v>128</v>
      </c>
      <c r="E238" s="107" t="s">
        <v>161</v>
      </c>
      <c r="F238" s="107" t="s">
        <v>157</v>
      </c>
      <c r="G238" s="107" t="s">
        <v>164</v>
      </c>
      <c r="H238" s="107" t="s">
        <v>136</v>
      </c>
      <c r="I238" s="107"/>
      <c r="J238" s="107"/>
      <c r="K238" s="101">
        <f t="shared" si="244"/>
        <v>49</v>
      </c>
      <c r="L238" s="102"/>
      <c r="M238" s="104" t="s">
        <v>52</v>
      </c>
      <c r="N238" s="102" t="s">
        <v>82</v>
      </c>
      <c r="P238" s="95">
        <v>19740464.17723868</v>
      </c>
      <c r="Q238" s="103">
        <v>1.0370079234600944E-2</v>
      </c>
      <c r="R238" s="99">
        <f t="shared" si="323"/>
        <v>204710.17764576664</v>
      </c>
      <c r="S238" s="99">
        <f t="shared" si="324"/>
        <v>5992.7724063318119</v>
      </c>
      <c r="T238" s="221">
        <f t="shared" si="325"/>
        <v>210702.95005209846</v>
      </c>
      <c r="V238" s="95">
        <v>18326558.276918728</v>
      </c>
      <c r="W238" s="103">
        <v>1.1396652583713227E-2</v>
      </c>
      <c r="X238" s="99">
        <f t="shared" si="326"/>
        <v>208861.41773721686</v>
      </c>
      <c r="Y238" s="99">
        <f t="shared" si="298"/>
        <v>6114.2975662344597</v>
      </c>
      <c r="Z238" s="221">
        <f t="shared" si="327"/>
        <v>214975.71530345132</v>
      </c>
      <c r="AB238" s="95">
        <f t="shared" si="292"/>
        <v>18326558.276918728</v>
      </c>
      <c r="AC238" s="103">
        <v>1.1396652583713227E-2</v>
      </c>
      <c r="AD238" s="99">
        <f t="shared" si="328"/>
        <v>208861.41773721686</v>
      </c>
      <c r="AE238" s="99">
        <f t="shared" si="301"/>
        <v>6114.2975662344597</v>
      </c>
      <c r="AF238" s="221">
        <f t="shared" si="329"/>
        <v>214975.71530345132</v>
      </c>
    </row>
    <row r="239" spans="2:32" x14ac:dyDescent="0.2">
      <c r="B239" s="223" t="s">
        <v>127</v>
      </c>
      <c r="C239" s="107" t="s">
        <v>77</v>
      </c>
      <c r="D239" s="107" t="s">
        <v>128</v>
      </c>
      <c r="E239" s="107" t="s">
        <v>161</v>
      </c>
      <c r="F239" s="107" t="s">
        <v>157</v>
      </c>
      <c r="G239" s="107" t="s">
        <v>164</v>
      </c>
      <c r="H239" s="107" t="s">
        <v>24</v>
      </c>
      <c r="I239" s="107"/>
      <c r="J239" s="107"/>
      <c r="K239" s="101">
        <f t="shared" si="244"/>
        <v>50</v>
      </c>
      <c r="L239" s="102"/>
      <c r="M239" s="104" t="s">
        <v>24</v>
      </c>
      <c r="N239" s="102" t="s">
        <v>82</v>
      </c>
      <c r="P239" s="95">
        <v>158106013.98004219</v>
      </c>
      <c r="Q239" s="103">
        <v>1.0370079234600944E-2</v>
      </c>
      <c r="R239" s="99">
        <f t="shared" si="323"/>
        <v>1639571.8924399619</v>
      </c>
      <c r="S239" s="99">
        <f t="shared" si="324"/>
        <v>47997.521707072898</v>
      </c>
      <c r="T239" s="221">
        <f t="shared" si="325"/>
        <v>1687569.4141470348</v>
      </c>
      <c r="V239" s="95">
        <v>146909211.69764256</v>
      </c>
      <c r="W239" s="103">
        <v>1.1396652583713227E-2</v>
      </c>
      <c r="X239" s="99">
        <f t="shared" si="326"/>
        <v>1674273.2470652116</v>
      </c>
      <c r="Y239" s="99">
        <f t="shared" si="298"/>
        <v>49013.383853508938</v>
      </c>
      <c r="Z239" s="221">
        <f t="shared" si="327"/>
        <v>1723286.6309187205</v>
      </c>
      <c r="AB239" s="95">
        <f t="shared" si="292"/>
        <v>146909211.69764256</v>
      </c>
      <c r="AC239" s="103">
        <v>1.1396652583713227E-2</v>
      </c>
      <c r="AD239" s="99">
        <f t="shared" si="328"/>
        <v>1674273.2470652116</v>
      </c>
      <c r="AE239" s="99">
        <f t="shared" si="301"/>
        <v>49013.383853508938</v>
      </c>
      <c r="AF239" s="221">
        <f t="shared" si="329"/>
        <v>1723286.6309187205</v>
      </c>
    </row>
    <row r="240" spans="2:32" x14ac:dyDescent="0.2">
      <c r="B240" s="223" t="s">
        <v>127</v>
      </c>
      <c r="C240" s="107" t="s">
        <v>77</v>
      </c>
      <c r="D240" s="107" t="s">
        <v>128</v>
      </c>
      <c r="E240" s="107"/>
      <c r="F240" s="107"/>
      <c r="G240" s="107"/>
      <c r="H240" s="107"/>
      <c r="I240" s="107"/>
      <c r="J240" s="107"/>
      <c r="K240" s="101">
        <f t="shared" si="244"/>
        <v>51</v>
      </c>
      <c r="L240" s="102"/>
      <c r="M240" s="102" t="s">
        <v>169</v>
      </c>
      <c r="N240" s="102"/>
      <c r="P240" s="95"/>
      <c r="Q240" s="103"/>
      <c r="V240" s="95"/>
      <c r="W240" s="103"/>
      <c r="AB240" s="95"/>
      <c r="AC240" s="103"/>
    </row>
    <row r="241" spans="2:32" x14ac:dyDescent="0.2">
      <c r="B241" s="223" t="s">
        <v>127</v>
      </c>
      <c r="C241" s="107" t="s">
        <v>77</v>
      </c>
      <c r="D241" s="107" t="s">
        <v>128</v>
      </c>
      <c r="E241" s="107" t="s">
        <v>161</v>
      </c>
      <c r="F241" s="107" t="s">
        <v>157</v>
      </c>
      <c r="G241" s="107" t="s">
        <v>166</v>
      </c>
      <c r="H241" s="107" t="s">
        <v>22</v>
      </c>
      <c r="I241" s="107"/>
      <c r="J241" s="107"/>
      <c r="K241" s="101">
        <f t="shared" si="244"/>
        <v>52</v>
      </c>
      <c r="L241" s="102"/>
      <c r="M241" s="104" t="s">
        <v>22</v>
      </c>
      <c r="N241" s="102" t="s">
        <v>82</v>
      </c>
      <c r="P241" s="95">
        <v>9763340.4063066542</v>
      </c>
      <c r="Q241" s="103">
        <v>1.0370079234600944E-2</v>
      </c>
      <c r="R241" s="99">
        <f t="shared" ref="R241:R243" si="330">P241*Q241</f>
        <v>101246.61360778098</v>
      </c>
      <c r="S241" s="99">
        <f t="shared" ref="S241:S243" si="331">R241*$S$2</f>
        <v>2963.9362304358597</v>
      </c>
      <c r="T241" s="221">
        <f t="shared" ref="T241:T243" si="332">S241+R241</f>
        <v>104210.54983821684</v>
      </c>
      <c r="V241" s="95">
        <v>8739425.7569848355</v>
      </c>
      <c r="W241" s="103">
        <v>1.1396652583713227E-2</v>
      </c>
      <c r="X241" s="99">
        <f t="shared" ref="X241:X243" si="333">V241*W241</f>
        <v>99600.199133511152</v>
      </c>
      <c r="Y241" s="99">
        <f t="shared" si="298"/>
        <v>2915.7383960914299</v>
      </c>
      <c r="Z241" s="221">
        <f t="shared" ref="Z241:Z243" si="334">Y241+X241</f>
        <v>102515.93752960258</v>
      </c>
      <c r="AB241" s="95">
        <f t="shared" si="292"/>
        <v>8739425.7569848355</v>
      </c>
      <c r="AC241" s="103">
        <v>1.1396652583713227E-2</v>
      </c>
      <c r="AD241" s="99">
        <f t="shared" ref="AD241:AD242" si="335">AB241*AC241</f>
        <v>99600.199133511152</v>
      </c>
      <c r="AE241" s="99">
        <f t="shared" si="301"/>
        <v>2915.7383960914299</v>
      </c>
      <c r="AF241" s="221">
        <f t="shared" ref="AF241:AF243" si="336">AE241+AD241</f>
        <v>102515.93752960258</v>
      </c>
    </row>
    <row r="242" spans="2:32" x14ac:dyDescent="0.2">
      <c r="B242" s="223" t="s">
        <v>127</v>
      </c>
      <c r="C242" s="107" t="s">
        <v>77</v>
      </c>
      <c r="D242" s="107" t="s">
        <v>128</v>
      </c>
      <c r="E242" s="107" t="s">
        <v>161</v>
      </c>
      <c r="F242" s="107" t="s">
        <v>157</v>
      </c>
      <c r="G242" s="107" t="s">
        <v>166</v>
      </c>
      <c r="H242" s="107" t="s">
        <v>136</v>
      </c>
      <c r="I242" s="107"/>
      <c r="J242" s="107"/>
      <c r="K242" s="101">
        <f t="shared" si="244"/>
        <v>53</v>
      </c>
      <c r="L242" s="102"/>
      <c r="M242" s="104" t="s">
        <v>52</v>
      </c>
      <c r="N242" s="102" t="s">
        <v>82</v>
      </c>
      <c r="P242" s="95">
        <v>16313952.658805968</v>
      </c>
      <c r="Q242" s="103">
        <v>1.0370079234600944E-2</v>
      </c>
      <c r="R242" s="99">
        <f t="shared" si="330"/>
        <v>169176.98170134664</v>
      </c>
      <c r="S242" s="99">
        <f t="shared" si="331"/>
        <v>4952.558584950737</v>
      </c>
      <c r="T242" s="221">
        <f t="shared" si="332"/>
        <v>174129.54028629739</v>
      </c>
      <c r="V242" s="95">
        <v>15145469.804769421</v>
      </c>
      <c r="W242" s="103">
        <v>1.1396652583713227E-2</v>
      </c>
      <c r="X242" s="99">
        <f t="shared" si="333"/>
        <v>172607.65758207609</v>
      </c>
      <c r="Y242" s="99">
        <f t="shared" si="298"/>
        <v>5052.9896430912831</v>
      </c>
      <c r="Z242" s="221">
        <f t="shared" si="334"/>
        <v>177660.64722516737</v>
      </c>
      <c r="AB242" s="95">
        <f t="shared" si="292"/>
        <v>15145469.804769421</v>
      </c>
      <c r="AC242" s="103">
        <v>1.1396652583713227E-2</v>
      </c>
      <c r="AD242" s="99">
        <f t="shared" si="335"/>
        <v>172607.65758207609</v>
      </c>
      <c r="AE242" s="99">
        <f t="shared" si="301"/>
        <v>5052.9896430912831</v>
      </c>
      <c r="AF242" s="221">
        <f t="shared" si="336"/>
        <v>177660.64722516737</v>
      </c>
    </row>
    <row r="243" spans="2:32" x14ac:dyDescent="0.2">
      <c r="B243" s="223" t="s">
        <v>127</v>
      </c>
      <c r="C243" s="107" t="s">
        <v>77</v>
      </c>
      <c r="D243" s="107" t="s">
        <v>128</v>
      </c>
      <c r="E243" s="107" t="s">
        <v>161</v>
      </c>
      <c r="F243" s="107" t="s">
        <v>157</v>
      </c>
      <c r="G243" s="107" t="s">
        <v>166</v>
      </c>
      <c r="H243" s="107" t="s">
        <v>24</v>
      </c>
      <c r="I243" s="107"/>
      <c r="J243" s="107"/>
      <c r="K243" s="101">
        <f t="shared" si="244"/>
        <v>54</v>
      </c>
      <c r="L243" s="102"/>
      <c r="M243" s="104" t="s">
        <v>24</v>
      </c>
      <c r="N243" s="102" t="s">
        <v>82</v>
      </c>
      <c r="P243" s="95">
        <v>146146981.96987236</v>
      </c>
      <c r="Q243" s="103">
        <v>1.0370079234600944E-2</v>
      </c>
      <c r="R243" s="99">
        <f t="shared" si="330"/>
        <v>1515555.7829253718</v>
      </c>
      <c r="S243" s="99">
        <f t="shared" si="331"/>
        <v>44367.021613786361</v>
      </c>
      <c r="T243" s="221">
        <f t="shared" si="332"/>
        <v>1559922.8045391582</v>
      </c>
      <c r="V243" s="95">
        <v>135797098.2425358</v>
      </c>
      <c r="W243" s="103">
        <v>1.1396652583713227E-2</v>
      </c>
      <c r="X243" s="99">
        <f t="shared" si="333"/>
        <v>1547632.3505465547</v>
      </c>
      <c r="Y243" s="99">
        <f t="shared" si="298"/>
        <v>45306.044634237711</v>
      </c>
      <c r="Z243" s="221">
        <f t="shared" si="334"/>
        <v>1592938.3951807923</v>
      </c>
      <c r="AB243" s="95">
        <f t="shared" si="292"/>
        <v>135797098.2425358</v>
      </c>
      <c r="AC243" s="103">
        <v>1.1396652583713227E-2</v>
      </c>
      <c r="AD243" s="99">
        <f>AB243*AC243</f>
        <v>1547632.3505465547</v>
      </c>
      <c r="AE243" s="99">
        <f t="shared" si="301"/>
        <v>45306.044634237711</v>
      </c>
      <c r="AF243" s="221">
        <f t="shared" si="336"/>
        <v>1592938.3951807923</v>
      </c>
    </row>
    <row r="244" spans="2:32" x14ac:dyDescent="0.2">
      <c r="P244" s="95"/>
      <c r="V244" s="95"/>
      <c r="AB244" s="95"/>
    </row>
    <row r="245" spans="2:32" x14ac:dyDescent="0.2">
      <c r="J245" s="211" t="s">
        <v>178</v>
      </c>
      <c r="M245" s="65" t="s">
        <v>83</v>
      </c>
      <c r="N245" s="102"/>
      <c r="R245" s="221">
        <f>R10+R16+R30+R36+R43+R49+R55+R61+R67+R73+R79+R85+R91</f>
        <v>837724366.68481445</v>
      </c>
      <c r="S245" s="221">
        <f t="shared" ref="S245:T246" si="337">S10+S16+S30+S36+S43+S49+S55+S61+S67+S73+S79+S85+S91</f>
        <v>24523897.768618673</v>
      </c>
      <c r="T245" s="221">
        <f t="shared" si="337"/>
        <v>862248264.45343328</v>
      </c>
      <c r="V245" s="95"/>
      <c r="X245" s="221">
        <f>X10+X16+X30+X36+X43+X49+X55+X61+X67+X73+X79+X85+X91</f>
        <v>805060780.03936648</v>
      </c>
      <c r="Y245" s="221">
        <f t="shared" ref="Y245:Z246" si="338">Y10+Y16+Y30+Y36+Y43+Y49+Y55+Y61+Y67+Y73+Y79+Y85+Y91</f>
        <v>23567690.104731098</v>
      </c>
      <c r="Z245" s="221">
        <f t="shared" si="338"/>
        <v>828628470.14409769</v>
      </c>
      <c r="AB245" s="95"/>
      <c r="AD245" s="221">
        <f>AD10+AD16+AD30+AD36+AD43+AD49+AD55+AD61+AD67+AD73+AD79+AD85+AD91</f>
        <v>803841819.0088985</v>
      </c>
      <c r="AE245" s="221">
        <f t="shared" ref="AE245:AF246" si="339">AE10+AE16+AE30+AE36+AE43+AE49+AE55+AE61+AE67+AE73+AE79+AE85+AE91</f>
        <v>23532005.723466855</v>
      </c>
      <c r="AF245" s="221">
        <f t="shared" si="339"/>
        <v>827373824.73236537</v>
      </c>
    </row>
    <row r="246" spans="2:32" x14ac:dyDescent="0.2">
      <c r="J246" s="211" t="s">
        <v>128</v>
      </c>
      <c r="M246" s="65" t="s">
        <v>84</v>
      </c>
      <c r="N246" s="102"/>
      <c r="P246" s="224"/>
      <c r="R246" s="221">
        <f>R11+R17+R31+R37+R44+R50+R56+R62+R68+R74+R80+R86+R92</f>
        <v>117203160.08457826</v>
      </c>
      <c r="S246" s="221">
        <f t="shared" si="337"/>
        <v>3431054.9273477988</v>
      </c>
      <c r="T246" s="221">
        <f t="shared" si="337"/>
        <v>120634215.01192607</v>
      </c>
      <c r="X246" s="221">
        <f>X11+X17+X31+X37+X44+X50+X56+X62+X68+X74+X80+X86+X92</f>
        <v>115527489.83298443</v>
      </c>
      <c r="Y246" s="221">
        <f t="shared" si="338"/>
        <v>3382000.6469922834</v>
      </c>
      <c r="Z246" s="221">
        <f t="shared" si="338"/>
        <v>118909490.47997671</v>
      </c>
      <c r="AD246" s="221">
        <f>AD11+AD17+AD31+AD37+AD44+AD50+AD56+AD62+AD68+AD74+AD80+AD86+AD92</f>
        <v>113814452.31910861</v>
      </c>
      <c r="AE246" s="221">
        <f t="shared" si="339"/>
        <v>3331852.4615809526</v>
      </c>
      <c r="AF246" s="221">
        <f t="shared" si="339"/>
        <v>117146304.78068954</v>
      </c>
    </row>
    <row r="247" spans="2:32" x14ac:dyDescent="0.2">
      <c r="M247" s="65" t="s">
        <v>85</v>
      </c>
      <c r="N247" s="102"/>
      <c r="P247" s="224"/>
      <c r="R247" s="221">
        <f>R12+R18+R22+R25+R26+R32+R38+R45+R51+R57+R63+R69+R75+R81+R87+R93</f>
        <v>12338412.756323475</v>
      </c>
      <c r="S247" s="221">
        <f t="shared" ref="S247:T247" si="340">S12+S18+S22+S25+S26+S32+S38+S45+S51+S57+S63+S69+S75+S81+S87+S93</f>
        <v>361199.91860872123</v>
      </c>
      <c r="T247" s="221">
        <f t="shared" si="340"/>
        <v>12699612.674932199</v>
      </c>
      <c r="X247" s="221">
        <f>X12+X18+X22+X25+X26+X32+X38+X45+X51+X57+X63+X69+X75+X81+X87+X93</f>
        <v>13554589.970930312</v>
      </c>
      <c r="Y247" s="221">
        <f t="shared" ref="Y247:Z247" si="341">Y12+Y18+Y22+Y25+Y26+Y32+Y38+Y45+Y51+Y57+Y63+Y69+Y75+Y81+Y87+Y93</f>
        <v>396802.80526889052</v>
      </c>
      <c r="Z247" s="221">
        <f t="shared" si="341"/>
        <v>13951392.776199207</v>
      </c>
      <c r="AD247" s="221">
        <f>AD12+AD18+AD22+AD25+AD26+AD32+AD38+AD45+AD51+AD57+AD63+AD69+AD75+AD81+AD87+AD93</f>
        <v>14273171.847182956</v>
      </c>
      <c r="AE247" s="221">
        <f t="shared" ref="AE247:AF247" si="342">AE12+AE18+AE22+AE25+AE26+AE32+AE38+AE45+AE51+AE57+AE63+AE69+AE75+AE81+AE87+AE93</f>
        <v>417838.87533253268</v>
      </c>
      <c r="AF247" s="221">
        <f t="shared" si="342"/>
        <v>14691010.72251549</v>
      </c>
    </row>
    <row r="248" spans="2:32" x14ac:dyDescent="0.2">
      <c r="M248" s="65" t="s">
        <v>86</v>
      </c>
      <c r="N248" s="102"/>
      <c r="P248" s="224"/>
      <c r="R248" s="221">
        <f>R13+R19+R23+R27+R28+R33+R39+R46+R52+R58+R64+R70+R76+R82+R88+R94</f>
        <v>52758616.073513113</v>
      </c>
      <c r="S248" s="221">
        <f t="shared" ref="S248:T248" si="343">S13+S19+S23+S27+S28+S33+S39+S46+S52+S58+S64+S70+S76+S82+S88+S94</f>
        <v>1544478.0627796098</v>
      </c>
      <c r="T248" s="221">
        <f t="shared" si="343"/>
        <v>54303094.136292718</v>
      </c>
      <c r="X248" s="221">
        <f>X13+X19+X23+X27+X28+X33+X39+X46+X52+X58+X64+X70+X76+X82+X88+X94</f>
        <v>57215787.711612336</v>
      </c>
      <c r="Y248" s="221">
        <f t="shared" ref="Y248:Z248" si="344">Y13+Y19+Y23+Y27+Y28+Y33+Y39+Y46+Y52+Y58+Y64+Y70+Y76+Y82+Y88+Y94</f>
        <v>1674959.1922977844</v>
      </c>
      <c r="Z248" s="221">
        <f t="shared" si="344"/>
        <v>58890746.903910115</v>
      </c>
      <c r="AD248" s="221">
        <f>AD13+AD19+AD23+AD27+AD28+AD33+AD39+AD46+AD52+AD58+AD64+AD70+AD76+AD82+AD88+AD94</f>
        <v>59446030.629633352</v>
      </c>
      <c r="AE248" s="221">
        <f t="shared" ref="AE248:AF248" si="345">AE13+AE19+AE23+AE27+AE28+AE33+AE39+AE46+AE52+AE58+AE64+AE70+AE76+AE82+AE88+AE94</f>
        <v>1740248.2676737083</v>
      </c>
      <c r="AF248" s="221">
        <f t="shared" si="345"/>
        <v>61186278.897307046</v>
      </c>
    </row>
    <row r="249" spans="2:32" x14ac:dyDescent="0.2">
      <c r="M249" s="65" t="s">
        <v>87</v>
      </c>
      <c r="N249" s="102"/>
      <c r="P249" s="224"/>
      <c r="R249" s="221">
        <f>R14+R20+R34+R40+R47+R53+R59+R65+R71+R77+R83+R89+R95</f>
        <v>12512595.602169819</v>
      </c>
      <c r="S249" s="221">
        <f t="shared" ref="S249:T249" si="346">S14+S20+S34+S40+S47+S53+S59+S65+S71+S77+S83+S89+S95</f>
        <v>366299.020979931</v>
      </c>
      <c r="T249" s="221">
        <f t="shared" si="346"/>
        <v>12878894.623149751</v>
      </c>
      <c r="X249" s="221">
        <f>X14+X20+X34+X40+X47+X53+X59+X65+X71+X77+X83+X89+X95</f>
        <v>13048457.763191786</v>
      </c>
      <c r="Y249" s="221">
        <f t="shared" ref="Y249:Z249" si="347">Y14+Y20+Y34+Y40+Y47+Y53+Y59+Y65+Y71+Y77+Y83+Y89+Y95</f>
        <v>381986.07674384443</v>
      </c>
      <c r="Z249" s="221">
        <f t="shared" si="347"/>
        <v>13430443.839935629</v>
      </c>
      <c r="AD249" s="221">
        <f>AD14+AD20+AD34+AD40+AD47+AD53+AD59+AD65+AD71+AD77+AD83+AD89+AD95</f>
        <v>13092593.868939836</v>
      </c>
      <c r="AE249" s="221">
        <f t="shared" ref="AE249:AF249" si="348">AE14+AE20+AE34+AE40+AE47+AE53+AE59+AE65+AE71+AE77+AE83+AE89+AE95</f>
        <v>383278.13578893774</v>
      </c>
      <c r="AF249" s="221">
        <f t="shared" si="348"/>
        <v>13475872.004728774</v>
      </c>
    </row>
    <row r="250" spans="2:32" x14ac:dyDescent="0.2">
      <c r="M250" s="65" t="s">
        <v>2</v>
      </c>
      <c r="N250" s="102"/>
      <c r="P250" s="224"/>
      <c r="R250" s="221">
        <f>SUM(R245:R249)</f>
        <v>1032537151.2013992</v>
      </c>
      <c r="S250" s="221">
        <f t="shared" ref="S250:T250" si="349">SUM(S245:S249)</f>
        <v>30226929.698334731</v>
      </c>
      <c r="T250" s="221">
        <f t="shared" si="349"/>
        <v>1062764080.899734</v>
      </c>
      <c r="X250" s="221">
        <f>SUM(X245:X249)</f>
        <v>1004407105.3180854</v>
      </c>
      <c r="Y250" s="221">
        <f t="shared" ref="Y250:Z250" si="350">SUM(Y245:Y249)</f>
        <v>29403438.826033901</v>
      </c>
      <c r="Z250" s="221">
        <f t="shared" si="350"/>
        <v>1033810544.1441195</v>
      </c>
      <c r="AD250" s="221">
        <f>SUM(AD245:AD249)</f>
        <v>1004468067.6737633</v>
      </c>
      <c r="AE250" s="221">
        <f t="shared" ref="AE250:AF250" si="351">SUM(AE245:AE249)</f>
        <v>29405223.463842984</v>
      </c>
      <c r="AF250" s="221">
        <f t="shared" si="351"/>
        <v>1033873291.1376061</v>
      </c>
    </row>
    <row r="251" spans="2:32" x14ac:dyDescent="0.2">
      <c r="M251" s="65" t="s">
        <v>179</v>
      </c>
      <c r="N251" s="102"/>
      <c r="P251" s="224"/>
      <c r="R251" s="221">
        <f>SUM(R10:R95)</f>
        <v>1032537151.201399</v>
      </c>
      <c r="S251" s="221">
        <f t="shared" ref="S251:T251" si="352">SUM(S10:S95)</f>
        <v>30226929.698334739</v>
      </c>
      <c r="T251" s="221">
        <f t="shared" si="352"/>
        <v>1062764080.8997337</v>
      </c>
      <c r="X251" s="221">
        <f>SUM(X10:X95)</f>
        <v>1004407105.3180858</v>
      </c>
      <c r="Y251" s="221">
        <f t="shared" ref="Y251:Z251" si="353">SUM(Y10:Y95)</f>
        <v>29403438.826033909</v>
      </c>
      <c r="Z251" s="221">
        <f t="shared" si="353"/>
        <v>1033810544.1441191</v>
      </c>
      <c r="AD251" s="221">
        <f>SUM(AD10:AD95)</f>
        <v>1004468067.6737634</v>
      </c>
      <c r="AE251" s="221">
        <f t="shared" ref="AE251:AF251" si="354">SUM(AE10:AE95)</f>
        <v>29405223.463842999</v>
      </c>
      <c r="AF251" s="221">
        <f t="shared" si="354"/>
        <v>1033873291.1376059</v>
      </c>
    </row>
    <row r="252" spans="2:32" x14ac:dyDescent="0.2">
      <c r="N252" s="102"/>
      <c r="P252" s="224"/>
    </row>
    <row r="253" spans="2:32" x14ac:dyDescent="0.2">
      <c r="J253" s="211" t="s">
        <v>180</v>
      </c>
      <c r="M253" s="65" t="s">
        <v>84</v>
      </c>
      <c r="P253" s="222"/>
      <c r="R253" s="221">
        <f>R193+R201+R205+R209+R213+R221+R225+R229+R233+R237+R241</f>
        <v>8195756.5821064953</v>
      </c>
      <c r="S253" s="221">
        <f t="shared" ref="S253:T253" si="355">S193+S201+S205+S209+S213+S221+S225+S229+S233+S237+S241</f>
        <v>239926.04793323926</v>
      </c>
      <c r="T253" s="221">
        <f t="shared" si="355"/>
        <v>8435682.6300397329</v>
      </c>
      <c r="X253" s="221">
        <f>X193+X201+X205+X209+X213+X221+X225+X229+X233+X237+X241</f>
        <v>7217563.1927285539</v>
      </c>
      <c r="Y253" s="221">
        <f t="shared" ref="Y253:Z253" si="356">Y193+Y201+Y205+Y209+Y213+Y221+Y225+Y229+Y233+Y237+Y241</f>
        <v>211290.00052545397</v>
      </c>
      <c r="Z253" s="221">
        <f t="shared" si="356"/>
        <v>7428853.193254008</v>
      </c>
      <c r="AD253" s="221">
        <f>AD193+AD201+AD205+AD209+AD213+AD221+AD225+AD229+AD233+AD237+AD241</f>
        <v>7128393.5484435167</v>
      </c>
      <c r="AE253" s="221">
        <f t="shared" ref="AE253:AF253" si="357">AE193+AE201+AE205+AE209+AE213+AE221+AE225+AE229+AE233+AE237+AE241</f>
        <v>208679.61060786768</v>
      </c>
      <c r="AF253" s="221">
        <f t="shared" si="357"/>
        <v>7337073.1590513838</v>
      </c>
    </row>
    <row r="254" spans="2:32" x14ac:dyDescent="0.2">
      <c r="M254" s="65" t="s">
        <v>86</v>
      </c>
      <c r="R254" s="221">
        <f>R194+R198+R199+R202+R206+R210+R214+R218+R222+R226+R230+R234+R238+R242</f>
        <v>4659697.2094997494</v>
      </c>
      <c r="S254" s="221">
        <f t="shared" ref="S254:T254" si="358">S194+S198+S199+S202+S206+S210+S214+S218+S222+S226+S230+S234+S238+S242</f>
        <v>136409.94883641007</v>
      </c>
      <c r="T254" s="221">
        <f t="shared" si="358"/>
        <v>4796107.1583361598</v>
      </c>
      <c r="X254" s="221">
        <f>X194+X198+X199+X202+X206+X210+X214+X218+X222+X226+X230+X234+X238+X242</f>
        <v>4636179.9452768909</v>
      </c>
      <c r="Y254" s="221">
        <f t="shared" ref="Y254:Z254" si="359">Y194+Y198+Y199+Y202+Y206+Y210+Y214+Y218+Y222+Y226+Y230+Y234+Y238+Y242</f>
        <v>135721.49448730081</v>
      </c>
      <c r="Z254" s="221">
        <f t="shared" si="359"/>
        <v>4771901.4397641933</v>
      </c>
      <c r="AD254" s="221">
        <f>AD194+AD198+AD199+AD202+AD206+AD210+AD214+AD218+AD222+AD226+AD230+AD234+AD238+AD242</f>
        <v>4802929.7674110252</v>
      </c>
      <c r="AE254" s="221">
        <f t="shared" ref="AE254:AF254" si="360">AE194+AE198+AE199+AE202+AE206+AE210+AE214+AE218+AE222+AE226+AE230+AE234+AE238+AE242</f>
        <v>140602.99937552068</v>
      </c>
      <c r="AF254" s="221">
        <f t="shared" si="360"/>
        <v>4943532.7667865464</v>
      </c>
    </row>
    <row r="255" spans="2:32" x14ac:dyDescent="0.2">
      <c r="M255" s="65" t="s">
        <v>87</v>
      </c>
      <c r="R255" s="221">
        <f>R195+R203+R211+R215+R219+R223+R227+R231+R235+R239+R243</f>
        <v>27087174.993905339</v>
      </c>
      <c r="S255" s="221">
        <f t="shared" ref="S255:T255" si="361">S195+S203+S211+S215+S219+S223+S227+S231+S235+S239+S243</f>
        <v>792961.42837534135</v>
      </c>
      <c r="T255" s="221">
        <f t="shared" si="361"/>
        <v>27880136.422280684</v>
      </c>
      <c r="X255" s="221">
        <f>X195+X203+X211+X215+X219+X223+X227+X231+X235+X239+X243</f>
        <v>25693702.202520896</v>
      </c>
      <c r="Y255" s="221">
        <f t="shared" ref="Y255:Z255" si="362">Y195+Y203+Y211+Y215+Y219+Y223+Y227+Y231+Y235+Y239+Y243</f>
        <v>752168.31594087742</v>
      </c>
      <c r="Z255" s="221">
        <f t="shared" si="362"/>
        <v>26445870.518461768</v>
      </c>
      <c r="AD255" s="221">
        <f>AD195+AD203+AD211+AD215+AD219+AD223+AD227+AD231+AD235+AD239+AD243</f>
        <v>25693702.202520896</v>
      </c>
      <c r="AE255" s="221">
        <f t="shared" ref="AE255:AF255" si="363">AE195+AE203+AE211+AE215+AE219+AE223+AE227+AE231+AE235+AE239+AE243</f>
        <v>752168.31594087742</v>
      </c>
      <c r="AF255" s="221">
        <f t="shared" si="363"/>
        <v>26445870.518461768</v>
      </c>
    </row>
    <row r="256" spans="2:32" x14ac:dyDescent="0.2">
      <c r="M256" s="65" t="s">
        <v>2</v>
      </c>
      <c r="R256" s="221">
        <f>SUM(R253:R255)</f>
        <v>39942628.785511583</v>
      </c>
      <c r="S256" s="221">
        <f t="shared" ref="S256:T256" si="364">SUM(S253:S255)</f>
        <v>1169297.4251449907</v>
      </c>
      <c r="T256" s="221">
        <f t="shared" si="364"/>
        <v>41111926.210656576</v>
      </c>
      <c r="X256" s="221">
        <f>SUM(X253:X255)</f>
        <v>37547445.340526342</v>
      </c>
      <c r="Y256" s="221">
        <f t="shared" ref="Y256:Z256" si="365">SUM(Y253:Y255)</f>
        <v>1099179.8109536322</v>
      </c>
      <c r="Z256" s="221">
        <f t="shared" si="365"/>
        <v>38646625.151479967</v>
      </c>
      <c r="AD256" s="221">
        <f>SUM(AD253:AD255)</f>
        <v>37625025.518375441</v>
      </c>
      <c r="AE256" s="221">
        <f t="shared" ref="AE256:AF256" si="366">SUM(AE253:AE255)</f>
        <v>1101450.9259242658</v>
      </c>
      <c r="AF256" s="221">
        <f t="shared" si="366"/>
        <v>38726476.444299698</v>
      </c>
    </row>
    <row r="257" spans="10:32" x14ac:dyDescent="0.2">
      <c r="M257" s="65" t="s">
        <v>179</v>
      </c>
      <c r="R257" s="221">
        <f>SUM(R193:R243)</f>
        <v>39942628.785511583</v>
      </c>
      <c r="S257" s="221">
        <f t="shared" ref="S257:T257" si="367">SUM(S193:S243)</f>
        <v>1169297.4251449904</v>
      </c>
      <c r="T257" s="221">
        <f t="shared" si="367"/>
        <v>41111926.210656576</v>
      </c>
      <c r="X257" s="221">
        <f>SUM(X193:X243)</f>
        <v>37547445.34052632</v>
      </c>
      <c r="Y257" s="221">
        <f t="shared" ref="Y257:Z257" si="368">SUM(Y193:Y243)</f>
        <v>1099179.810953632</v>
      </c>
      <c r="Z257" s="221">
        <f t="shared" si="368"/>
        <v>38646625.151479974</v>
      </c>
      <c r="AD257" s="221">
        <f>SUM(AD193:AD243)</f>
        <v>37625025.518375412</v>
      </c>
      <c r="AE257" s="221">
        <f t="shared" ref="AE257:AF257" si="369">SUM(AE193:AE243)</f>
        <v>1101450.9259242655</v>
      </c>
      <c r="AF257" s="221">
        <f t="shared" si="369"/>
        <v>38726476.444299698</v>
      </c>
    </row>
    <row r="260" spans="10:32" ht="14.25" x14ac:dyDescent="0.2">
      <c r="J260" s="225" t="s">
        <v>271</v>
      </c>
    </row>
  </sheetData>
  <mergeCells count="3">
    <mergeCell ref="P5:T5"/>
    <mergeCell ref="V5:Z5"/>
    <mergeCell ref="AB5:AF5"/>
  </mergeCells>
  <pageMargins left="0.2" right="0.2" top="0.25" bottom="0.25" header="0.3" footer="0.3"/>
  <pageSetup paperSize="5" scale="47" fitToWidth="3" fitToHeight="3" orientation="landscape" r:id="rId1"/>
  <rowBreaks count="2" manualBreakCount="2">
    <brk id="97" max="31" man="1"/>
    <brk id="189" max="31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zoomScaleNormal="100" workbookViewId="0">
      <selection activeCell="L33" sqref="L33"/>
    </sheetView>
  </sheetViews>
  <sheetFormatPr defaultRowHeight="12.75" x14ac:dyDescent="0.2"/>
  <cols>
    <col min="1" max="1" width="6" style="13" customWidth="1"/>
    <col min="2" max="2" width="44.7109375" style="13" customWidth="1"/>
    <col min="3" max="3" width="16.7109375" style="13" bestFit="1" customWidth="1"/>
    <col min="4" max="4" width="16" style="13" bestFit="1" customWidth="1"/>
    <col min="5" max="5" width="21" style="13" bestFit="1" customWidth="1"/>
    <col min="6" max="6" width="14" style="13" bestFit="1" customWidth="1"/>
    <col min="7" max="8" width="16.7109375" style="13" bestFit="1" customWidth="1"/>
    <col min="9" max="9" width="7.42578125" style="13" customWidth="1"/>
    <col min="10" max="10" width="5" style="13" customWidth="1"/>
    <col min="11" max="11" width="6" style="13" bestFit="1" customWidth="1"/>
    <col min="12" max="12" width="44.42578125" style="13" bestFit="1" customWidth="1"/>
    <col min="13" max="13" width="16.42578125" style="13" bestFit="1" customWidth="1"/>
    <col min="14" max="14" width="13.85546875" style="13" bestFit="1" customWidth="1"/>
    <col min="15" max="15" width="19.7109375" style="13" bestFit="1" customWidth="1"/>
    <col min="16" max="16" width="13.85546875" style="13" bestFit="1" customWidth="1"/>
    <col min="17" max="18" width="16.42578125" style="13" bestFit="1" customWidth="1"/>
    <col min="19" max="256" width="9.140625" style="13"/>
    <col min="257" max="257" width="6" style="13" customWidth="1"/>
    <col min="258" max="258" width="44.7109375" style="13" customWidth="1"/>
    <col min="259" max="259" width="16.7109375" style="13" bestFit="1" customWidth="1"/>
    <col min="260" max="260" width="16" style="13" bestFit="1" customWidth="1"/>
    <col min="261" max="261" width="21" style="13" bestFit="1" customWidth="1"/>
    <col min="262" max="262" width="14" style="13" bestFit="1" customWidth="1"/>
    <col min="263" max="264" width="16.7109375" style="13" bestFit="1" customWidth="1"/>
    <col min="265" max="265" width="6" style="13" bestFit="1" customWidth="1"/>
    <col min="266" max="266" width="9.140625" style="13"/>
    <col min="267" max="267" width="6" style="13" bestFit="1" customWidth="1"/>
    <col min="268" max="268" width="25.28515625" style="13" customWidth="1"/>
    <col min="269" max="269" width="16.42578125" style="13" bestFit="1" customWidth="1"/>
    <col min="270" max="270" width="13.85546875" style="13" bestFit="1" customWidth="1"/>
    <col min="271" max="271" width="19.7109375" style="13" bestFit="1" customWidth="1"/>
    <col min="272" max="272" width="13.85546875" style="13" bestFit="1" customWidth="1"/>
    <col min="273" max="274" width="16.42578125" style="13" bestFit="1" customWidth="1"/>
    <col min="275" max="512" width="9.140625" style="13"/>
    <col min="513" max="513" width="6" style="13" customWidth="1"/>
    <col min="514" max="514" width="44.7109375" style="13" customWidth="1"/>
    <col min="515" max="515" width="16.7109375" style="13" bestFit="1" customWidth="1"/>
    <col min="516" max="516" width="16" style="13" bestFit="1" customWidth="1"/>
    <col min="517" max="517" width="21" style="13" bestFit="1" customWidth="1"/>
    <col min="518" max="518" width="14" style="13" bestFit="1" customWidth="1"/>
    <col min="519" max="520" width="16.7109375" style="13" bestFit="1" customWidth="1"/>
    <col min="521" max="521" width="6" style="13" bestFit="1" customWidth="1"/>
    <col min="522" max="522" width="9.140625" style="13"/>
    <col min="523" max="523" width="6" style="13" bestFit="1" customWidth="1"/>
    <col min="524" max="524" width="25.28515625" style="13" customWidth="1"/>
    <col min="525" max="525" width="16.42578125" style="13" bestFit="1" customWidth="1"/>
    <col min="526" max="526" width="13.85546875" style="13" bestFit="1" customWidth="1"/>
    <col min="527" max="527" width="19.7109375" style="13" bestFit="1" customWidth="1"/>
    <col min="528" max="528" width="13.85546875" style="13" bestFit="1" customWidth="1"/>
    <col min="529" max="530" width="16.42578125" style="13" bestFit="1" customWidth="1"/>
    <col min="531" max="768" width="9.140625" style="13"/>
    <col min="769" max="769" width="6" style="13" customWidth="1"/>
    <col min="770" max="770" width="44.7109375" style="13" customWidth="1"/>
    <col min="771" max="771" width="16.7109375" style="13" bestFit="1" customWidth="1"/>
    <col min="772" max="772" width="16" style="13" bestFit="1" customWidth="1"/>
    <col min="773" max="773" width="21" style="13" bestFit="1" customWidth="1"/>
    <col min="774" max="774" width="14" style="13" bestFit="1" customWidth="1"/>
    <col min="775" max="776" width="16.7109375" style="13" bestFit="1" customWidth="1"/>
    <col min="777" max="777" width="6" style="13" bestFit="1" customWidth="1"/>
    <col min="778" max="778" width="9.140625" style="13"/>
    <col min="779" max="779" width="6" style="13" bestFit="1" customWidth="1"/>
    <col min="780" max="780" width="25.28515625" style="13" customWidth="1"/>
    <col min="781" max="781" width="16.42578125" style="13" bestFit="1" customWidth="1"/>
    <col min="782" max="782" width="13.85546875" style="13" bestFit="1" customWidth="1"/>
    <col min="783" max="783" width="19.7109375" style="13" bestFit="1" customWidth="1"/>
    <col min="784" max="784" width="13.85546875" style="13" bestFit="1" customWidth="1"/>
    <col min="785" max="786" width="16.42578125" style="13" bestFit="1" customWidth="1"/>
    <col min="787" max="1024" width="9.140625" style="13"/>
    <col min="1025" max="1025" width="6" style="13" customWidth="1"/>
    <col min="1026" max="1026" width="44.7109375" style="13" customWidth="1"/>
    <col min="1027" max="1027" width="16.7109375" style="13" bestFit="1" customWidth="1"/>
    <col min="1028" max="1028" width="16" style="13" bestFit="1" customWidth="1"/>
    <col min="1029" max="1029" width="21" style="13" bestFit="1" customWidth="1"/>
    <col min="1030" max="1030" width="14" style="13" bestFit="1" customWidth="1"/>
    <col min="1031" max="1032" width="16.7109375" style="13" bestFit="1" customWidth="1"/>
    <col min="1033" max="1033" width="6" style="13" bestFit="1" customWidth="1"/>
    <col min="1034" max="1034" width="9.140625" style="13"/>
    <col min="1035" max="1035" width="6" style="13" bestFit="1" customWidth="1"/>
    <col min="1036" max="1036" width="25.28515625" style="13" customWidth="1"/>
    <col min="1037" max="1037" width="16.42578125" style="13" bestFit="1" customWidth="1"/>
    <col min="1038" max="1038" width="13.85546875" style="13" bestFit="1" customWidth="1"/>
    <col min="1039" max="1039" width="19.7109375" style="13" bestFit="1" customWidth="1"/>
    <col min="1040" max="1040" width="13.85546875" style="13" bestFit="1" customWidth="1"/>
    <col min="1041" max="1042" width="16.42578125" style="13" bestFit="1" customWidth="1"/>
    <col min="1043" max="1280" width="9.140625" style="13"/>
    <col min="1281" max="1281" width="6" style="13" customWidth="1"/>
    <col min="1282" max="1282" width="44.7109375" style="13" customWidth="1"/>
    <col min="1283" max="1283" width="16.7109375" style="13" bestFit="1" customWidth="1"/>
    <col min="1284" max="1284" width="16" style="13" bestFit="1" customWidth="1"/>
    <col min="1285" max="1285" width="21" style="13" bestFit="1" customWidth="1"/>
    <col min="1286" max="1286" width="14" style="13" bestFit="1" customWidth="1"/>
    <col min="1287" max="1288" width="16.7109375" style="13" bestFit="1" customWidth="1"/>
    <col min="1289" max="1289" width="6" style="13" bestFit="1" customWidth="1"/>
    <col min="1290" max="1290" width="9.140625" style="13"/>
    <col min="1291" max="1291" width="6" style="13" bestFit="1" customWidth="1"/>
    <col min="1292" max="1292" width="25.28515625" style="13" customWidth="1"/>
    <col min="1293" max="1293" width="16.42578125" style="13" bestFit="1" customWidth="1"/>
    <col min="1294" max="1294" width="13.85546875" style="13" bestFit="1" customWidth="1"/>
    <col min="1295" max="1295" width="19.7109375" style="13" bestFit="1" customWidth="1"/>
    <col min="1296" max="1296" width="13.85546875" style="13" bestFit="1" customWidth="1"/>
    <col min="1297" max="1298" width="16.42578125" style="13" bestFit="1" customWidth="1"/>
    <col min="1299" max="1536" width="9.140625" style="13"/>
    <col min="1537" max="1537" width="6" style="13" customWidth="1"/>
    <col min="1538" max="1538" width="44.7109375" style="13" customWidth="1"/>
    <col min="1539" max="1539" width="16.7109375" style="13" bestFit="1" customWidth="1"/>
    <col min="1540" max="1540" width="16" style="13" bestFit="1" customWidth="1"/>
    <col min="1541" max="1541" width="21" style="13" bestFit="1" customWidth="1"/>
    <col min="1542" max="1542" width="14" style="13" bestFit="1" customWidth="1"/>
    <col min="1543" max="1544" width="16.7109375" style="13" bestFit="1" customWidth="1"/>
    <col min="1545" max="1545" width="6" style="13" bestFit="1" customWidth="1"/>
    <col min="1546" max="1546" width="9.140625" style="13"/>
    <col min="1547" max="1547" width="6" style="13" bestFit="1" customWidth="1"/>
    <col min="1548" max="1548" width="25.28515625" style="13" customWidth="1"/>
    <col min="1549" max="1549" width="16.42578125" style="13" bestFit="1" customWidth="1"/>
    <col min="1550" max="1550" width="13.85546875" style="13" bestFit="1" customWidth="1"/>
    <col min="1551" max="1551" width="19.7109375" style="13" bestFit="1" customWidth="1"/>
    <col min="1552" max="1552" width="13.85546875" style="13" bestFit="1" customWidth="1"/>
    <col min="1553" max="1554" width="16.42578125" style="13" bestFit="1" customWidth="1"/>
    <col min="1555" max="1792" width="9.140625" style="13"/>
    <col min="1793" max="1793" width="6" style="13" customWidth="1"/>
    <col min="1794" max="1794" width="44.7109375" style="13" customWidth="1"/>
    <col min="1795" max="1795" width="16.7109375" style="13" bestFit="1" customWidth="1"/>
    <col min="1796" max="1796" width="16" style="13" bestFit="1" customWidth="1"/>
    <col min="1797" max="1797" width="21" style="13" bestFit="1" customWidth="1"/>
    <col min="1798" max="1798" width="14" style="13" bestFit="1" customWidth="1"/>
    <col min="1799" max="1800" width="16.7109375" style="13" bestFit="1" customWidth="1"/>
    <col min="1801" max="1801" width="6" style="13" bestFit="1" customWidth="1"/>
    <col min="1802" max="1802" width="9.140625" style="13"/>
    <col min="1803" max="1803" width="6" style="13" bestFit="1" customWidth="1"/>
    <col min="1804" max="1804" width="25.28515625" style="13" customWidth="1"/>
    <col min="1805" max="1805" width="16.42578125" style="13" bestFit="1" customWidth="1"/>
    <col min="1806" max="1806" width="13.85546875" style="13" bestFit="1" customWidth="1"/>
    <col min="1807" max="1807" width="19.7109375" style="13" bestFit="1" customWidth="1"/>
    <col min="1808" max="1808" width="13.85546875" style="13" bestFit="1" customWidth="1"/>
    <col min="1809" max="1810" width="16.42578125" style="13" bestFit="1" customWidth="1"/>
    <col min="1811" max="2048" width="9.140625" style="13"/>
    <col min="2049" max="2049" width="6" style="13" customWidth="1"/>
    <col min="2050" max="2050" width="44.7109375" style="13" customWidth="1"/>
    <col min="2051" max="2051" width="16.7109375" style="13" bestFit="1" customWidth="1"/>
    <col min="2052" max="2052" width="16" style="13" bestFit="1" customWidth="1"/>
    <col min="2053" max="2053" width="21" style="13" bestFit="1" customWidth="1"/>
    <col min="2054" max="2054" width="14" style="13" bestFit="1" customWidth="1"/>
    <col min="2055" max="2056" width="16.7109375" style="13" bestFit="1" customWidth="1"/>
    <col min="2057" max="2057" width="6" style="13" bestFit="1" customWidth="1"/>
    <col min="2058" max="2058" width="9.140625" style="13"/>
    <col min="2059" max="2059" width="6" style="13" bestFit="1" customWidth="1"/>
    <col min="2060" max="2060" width="25.28515625" style="13" customWidth="1"/>
    <col min="2061" max="2061" width="16.42578125" style="13" bestFit="1" customWidth="1"/>
    <col min="2062" max="2062" width="13.85546875" style="13" bestFit="1" customWidth="1"/>
    <col min="2063" max="2063" width="19.7109375" style="13" bestFit="1" customWidth="1"/>
    <col min="2064" max="2064" width="13.85546875" style="13" bestFit="1" customWidth="1"/>
    <col min="2065" max="2066" width="16.42578125" style="13" bestFit="1" customWidth="1"/>
    <col min="2067" max="2304" width="9.140625" style="13"/>
    <col min="2305" max="2305" width="6" style="13" customWidth="1"/>
    <col min="2306" max="2306" width="44.7109375" style="13" customWidth="1"/>
    <col min="2307" max="2307" width="16.7109375" style="13" bestFit="1" customWidth="1"/>
    <col min="2308" max="2308" width="16" style="13" bestFit="1" customWidth="1"/>
    <col min="2309" max="2309" width="21" style="13" bestFit="1" customWidth="1"/>
    <col min="2310" max="2310" width="14" style="13" bestFit="1" customWidth="1"/>
    <col min="2311" max="2312" width="16.7109375" style="13" bestFit="1" customWidth="1"/>
    <col min="2313" max="2313" width="6" style="13" bestFit="1" customWidth="1"/>
    <col min="2314" max="2314" width="9.140625" style="13"/>
    <col min="2315" max="2315" width="6" style="13" bestFit="1" customWidth="1"/>
    <col min="2316" max="2316" width="25.28515625" style="13" customWidth="1"/>
    <col min="2317" max="2317" width="16.42578125" style="13" bestFit="1" customWidth="1"/>
    <col min="2318" max="2318" width="13.85546875" style="13" bestFit="1" customWidth="1"/>
    <col min="2319" max="2319" width="19.7109375" style="13" bestFit="1" customWidth="1"/>
    <col min="2320" max="2320" width="13.85546875" style="13" bestFit="1" customWidth="1"/>
    <col min="2321" max="2322" width="16.42578125" style="13" bestFit="1" customWidth="1"/>
    <col min="2323" max="2560" width="9.140625" style="13"/>
    <col min="2561" max="2561" width="6" style="13" customWidth="1"/>
    <col min="2562" max="2562" width="44.7109375" style="13" customWidth="1"/>
    <col min="2563" max="2563" width="16.7109375" style="13" bestFit="1" customWidth="1"/>
    <col min="2564" max="2564" width="16" style="13" bestFit="1" customWidth="1"/>
    <col min="2565" max="2565" width="21" style="13" bestFit="1" customWidth="1"/>
    <col min="2566" max="2566" width="14" style="13" bestFit="1" customWidth="1"/>
    <col min="2567" max="2568" width="16.7109375" style="13" bestFit="1" customWidth="1"/>
    <col min="2569" max="2569" width="6" style="13" bestFit="1" customWidth="1"/>
    <col min="2570" max="2570" width="9.140625" style="13"/>
    <col min="2571" max="2571" width="6" style="13" bestFit="1" customWidth="1"/>
    <col min="2572" max="2572" width="25.28515625" style="13" customWidth="1"/>
    <col min="2573" max="2573" width="16.42578125" style="13" bestFit="1" customWidth="1"/>
    <col min="2574" max="2574" width="13.85546875" style="13" bestFit="1" customWidth="1"/>
    <col min="2575" max="2575" width="19.7109375" style="13" bestFit="1" customWidth="1"/>
    <col min="2576" max="2576" width="13.85546875" style="13" bestFit="1" customWidth="1"/>
    <col min="2577" max="2578" width="16.42578125" style="13" bestFit="1" customWidth="1"/>
    <col min="2579" max="2816" width="9.140625" style="13"/>
    <col min="2817" max="2817" width="6" style="13" customWidth="1"/>
    <col min="2818" max="2818" width="44.7109375" style="13" customWidth="1"/>
    <col min="2819" max="2819" width="16.7109375" style="13" bestFit="1" customWidth="1"/>
    <col min="2820" max="2820" width="16" style="13" bestFit="1" customWidth="1"/>
    <col min="2821" max="2821" width="21" style="13" bestFit="1" customWidth="1"/>
    <col min="2822" max="2822" width="14" style="13" bestFit="1" customWidth="1"/>
    <col min="2823" max="2824" width="16.7109375" style="13" bestFit="1" customWidth="1"/>
    <col min="2825" max="2825" width="6" style="13" bestFit="1" customWidth="1"/>
    <col min="2826" max="2826" width="9.140625" style="13"/>
    <col min="2827" max="2827" width="6" style="13" bestFit="1" customWidth="1"/>
    <col min="2828" max="2828" width="25.28515625" style="13" customWidth="1"/>
    <col min="2829" max="2829" width="16.42578125" style="13" bestFit="1" customWidth="1"/>
    <col min="2830" max="2830" width="13.85546875" style="13" bestFit="1" customWidth="1"/>
    <col min="2831" max="2831" width="19.7109375" style="13" bestFit="1" customWidth="1"/>
    <col min="2832" max="2832" width="13.85546875" style="13" bestFit="1" customWidth="1"/>
    <col min="2833" max="2834" width="16.42578125" style="13" bestFit="1" customWidth="1"/>
    <col min="2835" max="3072" width="9.140625" style="13"/>
    <col min="3073" max="3073" width="6" style="13" customWidth="1"/>
    <col min="3074" max="3074" width="44.7109375" style="13" customWidth="1"/>
    <col min="3075" max="3075" width="16.7109375" style="13" bestFit="1" customWidth="1"/>
    <col min="3076" max="3076" width="16" style="13" bestFit="1" customWidth="1"/>
    <col min="3077" max="3077" width="21" style="13" bestFit="1" customWidth="1"/>
    <col min="3078" max="3078" width="14" style="13" bestFit="1" customWidth="1"/>
    <col min="3079" max="3080" width="16.7109375" style="13" bestFit="1" customWidth="1"/>
    <col min="3081" max="3081" width="6" style="13" bestFit="1" customWidth="1"/>
    <col min="3082" max="3082" width="9.140625" style="13"/>
    <col min="3083" max="3083" width="6" style="13" bestFit="1" customWidth="1"/>
    <col min="3084" max="3084" width="25.28515625" style="13" customWidth="1"/>
    <col min="3085" max="3085" width="16.42578125" style="13" bestFit="1" customWidth="1"/>
    <col min="3086" max="3086" width="13.85546875" style="13" bestFit="1" customWidth="1"/>
    <col min="3087" max="3087" width="19.7109375" style="13" bestFit="1" customWidth="1"/>
    <col min="3088" max="3088" width="13.85546875" style="13" bestFit="1" customWidth="1"/>
    <col min="3089" max="3090" width="16.42578125" style="13" bestFit="1" customWidth="1"/>
    <col min="3091" max="3328" width="9.140625" style="13"/>
    <col min="3329" max="3329" width="6" style="13" customWidth="1"/>
    <col min="3330" max="3330" width="44.7109375" style="13" customWidth="1"/>
    <col min="3331" max="3331" width="16.7109375" style="13" bestFit="1" customWidth="1"/>
    <col min="3332" max="3332" width="16" style="13" bestFit="1" customWidth="1"/>
    <col min="3333" max="3333" width="21" style="13" bestFit="1" customWidth="1"/>
    <col min="3334" max="3334" width="14" style="13" bestFit="1" customWidth="1"/>
    <col min="3335" max="3336" width="16.7109375" style="13" bestFit="1" customWidth="1"/>
    <col min="3337" max="3337" width="6" style="13" bestFit="1" customWidth="1"/>
    <col min="3338" max="3338" width="9.140625" style="13"/>
    <col min="3339" max="3339" width="6" style="13" bestFit="1" customWidth="1"/>
    <col min="3340" max="3340" width="25.28515625" style="13" customWidth="1"/>
    <col min="3341" max="3341" width="16.42578125" style="13" bestFit="1" customWidth="1"/>
    <col min="3342" max="3342" width="13.85546875" style="13" bestFit="1" customWidth="1"/>
    <col min="3343" max="3343" width="19.7109375" style="13" bestFit="1" customWidth="1"/>
    <col min="3344" max="3344" width="13.85546875" style="13" bestFit="1" customWidth="1"/>
    <col min="3345" max="3346" width="16.42578125" style="13" bestFit="1" customWidth="1"/>
    <col min="3347" max="3584" width="9.140625" style="13"/>
    <col min="3585" max="3585" width="6" style="13" customWidth="1"/>
    <col min="3586" max="3586" width="44.7109375" style="13" customWidth="1"/>
    <col min="3587" max="3587" width="16.7109375" style="13" bestFit="1" customWidth="1"/>
    <col min="3588" max="3588" width="16" style="13" bestFit="1" customWidth="1"/>
    <col min="3589" max="3589" width="21" style="13" bestFit="1" customWidth="1"/>
    <col min="3590" max="3590" width="14" style="13" bestFit="1" customWidth="1"/>
    <col min="3591" max="3592" width="16.7109375" style="13" bestFit="1" customWidth="1"/>
    <col min="3593" max="3593" width="6" style="13" bestFit="1" customWidth="1"/>
    <col min="3594" max="3594" width="9.140625" style="13"/>
    <col min="3595" max="3595" width="6" style="13" bestFit="1" customWidth="1"/>
    <col min="3596" max="3596" width="25.28515625" style="13" customWidth="1"/>
    <col min="3597" max="3597" width="16.42578125" style="13" bestFit="1" customWidth="1"/>
    <col min="3598" max="3598" width="13.85546875" style="13" bestFit="1" customWidth="1"/>
    <col min="3599" max="3599" width="19.7109375" style="13" bestFit="1" customWidth="1"/>
    <col min="3600" max="3600" width="13.85546875" style="13" bestFit="1" customWidth="1"/>
    <col min="3601" max="3602" width="16.42578125" style="13" bestFit="1" customWidth="1"/>
    <col min="3603" max="3840" width="9.140625" style="13"/>
    <col min="3841" max="3841" width="6" style="13" customWidth="1"/>
    <col min="3842" max="3842" width="44.7109375" style="13" customWidth="1"/>
    <col min="3843" max="3843" width="16.7109375" style="13" bestFit="1" customWidth="1"/>
    <col min="3844" max="3844" width="16" style="13" bestFit="1" customWidth="1"/>
    <col min="3845" max="3845" width="21" style="13" bestFit="1" customWidth="1"/>
    <col min="3846" max="3846" width="14" style="13" bestFit="1" customWidth="1"/>
    <col min="3847" max="3848" width="16.7109375" style="13" bestFit="1" customWidth="1"/>
    <col min="3849" max="3849" width="6" style="13" bestFit="1" customWidth="1"/>
    <col min="3850" max="3850" width="9.140625" style="13"/>
    <col min="3851" max="3851" width="6" style="13" bestFit="1" customWidth="1"/>
    <col min="3852" max="3852" width="25.28515625" style="13" customWidth="1"/>
    <col min="3853" max="3853" width="16.42578125" style="13" bestFit="1" customWidth="1"/>
    <col min="3854" max="3854" width="13.85546875" style="13" bestFit="1" customWidth="1"/>
    <col min="3855" max="3855" width="19.7109375" style="13" bestFit="1" customWidth="1"/>
    <col min="3856" max="3856" width="13.85546875" style="13" bestFit="1" customWidth="1"/>
    <col min="3857" max="3858" width="16.42578125" style="13" bestFit="1" customWidth="1"/>
    <col min="3859" max="4096" width="9.140625" style="13"/>
    <col min="4097" max="4097" width="6" style="13" customWidth="1"/>
    <col min="4098" max="4098" width="44.7109375" style="13" customWidth="1"/>
    <col min="4099" max="4099" width="16.7109375" style="13" bestFit="1" customWidth="1"/>
    <col min="4100" max="4100" width="16" style="13" bestFit="1" customWidth="1"/>
    <col min="4101" max="4101" width="21" style="13" bestFit="1" customWidth="1"/>
    <col min="4102" max="4102" width="14" style="13" bestFit="1" customWidth="1"/>
    <col min="4103" max="4104" width="16.7109375" style="13" bestFit="1" customWidth="1"/>
    <col min="4105" max="4105" width="6" style="13" bestFit="1" customWidth="1"/>
    <col min="4106" max="4106" width="9.140625" style="13"/>
    <col min="4107" max="4107" width="6" style="13" bestFit="1" customWidth="1"/>
    <col min="4108" max="4108" width="25.28515625" style="13" customWidth="1"/>
    <col min="4109" max="4109" width="16.42578125" style="13" bestFit="1" customWidth="1"/>
    <col min="4110" max="4110" width="13.85546875" style="13" bestFit="1" customWidth="1"/>
    <col min="4111" max="4111" width="19.7109375" style="13" bestFit="1" customWidth="1"/>
    <col min="4112" max="4112" width="13.85546875" style="13" bestFit="1" customWidth="1"/>
    <col min="4113" max="4114" width="16.42578125" style="13" bestFit="1" customWidth="1"/>
    <col min="4115" max="4352" width="9.140625" style="13"/>
    <col min="4353" max="4353" width="6" style="13" customWidth="1"/>
    <col min="4354" max="4354" width="44.7109375" style="13" customWidth="1"/>
    <col min="4355" max="4355" width="16.7109375" style="13" bestFit="1" customWidth="1"/>
    <col min="4356" max="4356" width="16" style="13" bestFit="1" customWidth="1"/>
    <col min="4357" max="4357" width="21" style="13" bestFit="1" customWidth="1"/>
    <col min="4358" max="4358" width="14" style="13" bestFit="1" customWidth="1"/>
    <col min="4359" max="4360" width="16.7109375" style="13" bestFit="1" customWidth="1"/>
    <col min="4361" max="4361" width="6" style="13" bestFit="1" customWidth="1"/>
    <col min="4362" max="4362" width="9.140625" style="13"/>
    <col min="4363" max="4363" width="6" style="13" bestFit="1" customWidth="1"/>
    <col min="4364" max="4364" width="25.28515625" style="13" customWidth="1"/>
    <col min="4365" max="4365" width="16.42578125" style="13" bestFit="1" customWidth="1"/>
    <col min="4366" max="4366" width="13.85546875" style="13" bestFit="1" customWidth="1"/>
    <col min="4367" max="4367" width="19.7109375" style="13" bestFit="1" customWidth="1"/>
    <col min="4368" max="4368" width="13.85546875" style="13" bestFit="1" customWidth="1"/>
    <col min="4369" max="4370" width="16.42578125" style="13" bestFit="1" customWidth="1"/>
    <col min="4371" max="4608" width="9.140625" style="13"/>
    <col min="4609" max="4609" width="6" style="13" customWidth="1"/>
    <col min="4610" max="4610" width="44.7109375" style="13" customWidth="1"/>
    <col min="4611" max="4611" width="16.7109375" style="13" bestFit="1" customWidth="1"/>
    <col min="4612" max="4612" width="16" style="13" bestFit="1" customWidth="1"/>
    <col min="4613" max="4613" width="21" style="13" bestFit="1" customWidth="1"/>
    <col min="4614" max="4614" width="14" style="13" bestFit="1" customWidth="1"/>
    <col min="4615" max="4616" width="16.7109375" style="13" bestFit="1" customWidth="1"/>
    <col min="4617" max="4617" width="6" style="13" bestFit="1" customWidth="1"/>
    <col min="4618" max="4618" width="9.140625" style="13"/>
    <col min="4619" max="4619" width="6" style="13" bestFit="1" customWidth="1"/>
    <col min="4620" max="4620" width="25.28515625" style="13" customWidth="1"/>
    <col min="4621" max="4621" width="16.42578125" style="13" bestFit="1" customWidth="1"/>
    <col min="4622" max="4622" width="13.85546875" style="13" bestFit="1" customWidth="1"/>
    <col min="4623" max="4623" width="19.7109375" style="13" bestFit="1" customWidth="1"/>
    <col min="4624" max="4624" width="13.85546875" style="13" bestFit="1" customWidth="1"/>
    <col min="4625" max="4626" width="16.42578125" style="13" bestFit="1" customWidth="1"/>
    <col min="4627" max="4864" width="9.140625" style="13"/>
    <col min="4865" max="4865" width="6" style="13" customWidth="1"/>
    <col min="4866" max="4866" width="44.7109375" style="13" customWidth="1"/>
    <col min="4867" max="4867" width="16.7109375" style="13" bestFit="1" customWidth="1"/>
    <col min="4868" max="4868" width="16" style="13" bestFit="1" customWidth="1"/>
    <col min="4869" max="4869" width="21" style="13" bestFit="1" customWidth="1"/>
    <col min="4870" max="4870" width="14" style="13" bestFit="1" customWidth="1"/>
    <col min="4871" max="4872" width="16.7109375" style="13" bestFit="1" customWidth="1"/>
    <col min="4873" max="4873" width="6" style="13" bestFit="1" customWidth="1"/>
    <col min="4874" max="4874" width="9.140625" style="13"/>
    <col min="4875" max="4875" width="6" style="13" bestFit="1" customWidth="1"/>
    <col min="4876" max="4876" width="25.28515625" style="13" customWidth="1"/>
    <col min="4877" max="4877" width="16.42578125" style="13" bestFit="1" customWidth="1"/>
    <col min="4878" max="4878" width="13.85546875" style="13" bestFit="1" customWidth="1"/>
    <col min="4879" max="4879" width="19.7109375" style="13" bestFit="1" customWidth="1"/>
    <col min="4880" max="4880" width="13.85546875" style="13" bestFit="1" customWidth="1"/>
    <col min="4881" max="4882" width="16.42578125" style="13" bestFit="1" customWidth="1"/>
    <col min="4883" max="5120" width="9.140625" style="13"/>
    <col min="5121" max="5121" width="6" style="13" customWidth="1"/>
    <col min="5122" max="5122" width="44.7109375" style="13" customWidth="1"/>
    <col min="5123" max="5123" width="16.7109375" style="13" bestFit="1" customWidth="1"/>
    <col min="5124" max="5124" width="16" style="13" bestFit="1" customWidth="1"/>
    <col min="5125" max="5125" width="21" style="13" bestFit="1" customWidth="1"/>
    <col min="5126" max="5126" width="14" style="13" bestFit="1" customWidth="1"/>
    <col min="5127" max="5128" width="16.7109375" style="13" bestFit="1" customWidth="1"/>
    <col min="5129" max="5129" width="6" style="13" bestFit="1" customWidth="1"/>
    <col min="5130" max="5130" width="9.140625" style="13"/>
    <col min="5131" max="5131" width="6" style="13" bestFit="1" customWidth="1"/>
    <col min="5132" max="5132" width="25.28515625" style="13" customWidth="1"/>
    <col min="5133" max="5133" width="16.42578125" style="13" bestFit="1" customWidth="1"/>
    <col min="5134" max="5134" width="13.85546875" style="13" bestFit="1" customWidth="1"/>
    <col min="5135" max="5135" width="19.7109375" style="13" bestFit="1" customWidth="1"/>
    <col min="5136" max="5136" width="13.85546875" style="13" bestFit="1" customWidth="1"/>
    <col min="5137" max="5138" width="16.42578125" style="13" bestFit="1" customWidth="1"/>
    <col min="5139" max="5376" width="9.140625" style="13"/>
    <col min="5377" max="5377" width="6" style="13" customWidth="1"/>
    <col min="5378" max="5378" width="44.7109375" style="13" customWidth="1"/>
    <col min="5379" max="5379" width="16.7109375" style="13" bestFit="1" customWidth="1"/>
    <col min="5380" max="5380" width="16" style="13" bestFit="1" customWidth="1"/>
    <col min="5381" max="5381" width="21" style="13" bestFit="1" customWidth="1"/>
    <col min="5382" max="5382" width="14" style="13" bestFit="1" customWidth="1"/>
    <col min="5383" max="5384" width="16.7109375" style="13" bestFit="1" customWidth="1"/>
    <col min="5385" max="5385" width="6" style="13" bestFit="1" customWidth="1"/>
    <col min="5386" max="5386" width="9.140625" style="13"/>
    <col min="5387" max="5387" width="6" style="13" bestFit="1" customWidth="1"/>
    <col min="5388" max="5388" width="25.28515625" style="13" customWidth="1"/>
    <col min="5389" max="5389" width="16.42578125" style="13" bestFit="1" customWidth="1"/>
    <col min="5390" max="5390" width="13.85546875" style="13" bestFit="1" customWidth="1"/>
    <col min="5391" max="5391" width="19.7109375" style="13" bestFit="1" customWidth="1"/>
    <col min="5392" max="5392" width="13.85546875" style="13" bestFit="1" customWidth="1"/>
    <col min="5393" max="5394" width="16.42578125" style="13" bestFit="1" customWidth="1"/>
    <col min="5395" max="5632" width="9.140625" style="13"/>
    <col min="5633" max="5633" width="6" style="13" customWidth="1"/>
    <col min="5634" max="5634" width="44.7109375" style="13" customWidth="1"/>
    <col min="5635" max="5635" width="16.7109375" style="13" bestFit="1" customWidth="1"/>
    <col min="5636" max="5636" width="16" style="13" bestFit="1" customWidth="1"/>
    <col min="5637" max="5637" width="21" style="13" bestFit="1" customWidth="1"/>
    <col min="5638" max="5638" width="14" style="13" bestFit="1" customWidth="1"/>
    <col min="5639" max="5640" width="16.7109375" style="13" bestFit="1" customWidth="1"/>
    <col min="5641" max="5641" width="6" style="13" bestFit="1" customWidth="1"/>
    <col min="5642" max="5642" width="9.140625" style="13"/>
    <col min="5643" max="5643" width="6" style="13" bestFit="1" customWidth="1"/>
    <col min="5644" max="5644" width="25.28515625" style="13" customWidth="1"/>
    <col min="5645" max="5645" width="16.42578125" style="13" bestFit="1" customWidth="1"/>
    <col min="5646" max="5646" width="13.85546875" style="13" bestFit="1" customWidth="1"/>
    <col min="5647" max="5647" width="19.7109375" style="13" bestFit="1" customWidth="1"/>
    <col min="5648" max="5648" width="13.85546875" style="13" bestFit="1" customWidth="1"/>
    <col min="5649" max="5650" width="16.42578125" style="13" bestFit="1" customWidth="1"/>
    <col min="5651" max="5888" width="9.140625" style="13"/>
    <col min="5889" max="5889" width="6" style="13" customWidth="1"/>
    <col min="5890" max="5890" width="44.7109375" style="13" customWidth="1"/>
    <col min="5891" max="5891" width="16.7109375" style="13" bestFit="1" customWidth="1"/>
    <col min="5892" max="5892" width="16" style="13" bestFit="1" customWidth="1"/>
    <col min="5893" max="5893" width="21" style="13" bestFit="1" customWidth="1"/>
    <col min="5894" max="5894" width="14" style="13" bestFit="1" customWidth="1"/>
    <col min="5895" max="5896" width="16.7109375" style="13" bestFit="1" customWidth="1"/>
    <col min="5897" max="5897" width="6" style="13" bestFit="1" customWidth="1"/>
    <col min="5898" max="5898" width="9.140625" style="13"/>
    <col min="5899" max="5899" width="6" style="13" bestFit="1" customWidth="1"/>
    <col min="5900" max="5900" width="25.28515625" style="13" customWidth="1"/>
    <col min="5901" max="5901" width="16.42578125" style="13" bestFit="1" customWidth="1"/>
    <col min="5902" max="5902" width="13.85546875" style="13" bestFit="1" customWidth="1"/>
    <col min="5903" max="5903" width="19.7109375" style="13" bestFit="1" customWidth="1"/>
    <col min="5904" max="5904" width="13.85546875" style="13" bestFit="1" customWidth="1"/>
    <col min="5905" max="5906" width="16.42578125" style="13" bestFit="1" customWidth="1"/>
    <col min="5907" max="6144" width="9.140625" style="13"/>
    <col min="6145" max="6145" width="6" style="13" customWidth="1"/>
    <col min="6146" max="6146" width="44.7109375" style="13" customWidth="1"/>
    <col min="6147" max="6147" width="16.7109375" style="13" bestFit="1" customWidth="1"/>
    <col min="6148" max="6148" width="16" style="13" bestFit="1" customWidth="1"/>
    <col min="6149" max="6149" width="21" style="13" bestFit="1" customWidth="1"/>
    <col min="6150" max="6150" width="14" style="13" bestFit="1" customWidth="1"/>
    <col min="6151" max="6152" width="16.7109375" style="13" bestFit="1" customWidth="1"/>
    <col min="6153" max="6153" width="6" style="13" bestFit="1" customWidth="1"/>
    <col min="6154" max="6154" width="9.140625" style="13"/>
    <col min="6155" max="6155" width="6" style="13" bestFit="1" customWidth="1"/>
    <col min="6156" max="6156" width="25.28515625" style="13" customWidth="1"/>
    <col min="6157" max="6157" width="16.42578125" style="13" bestFit="1" customWidth="1"/>
    <col min="6158" max="6158" width="13.85546875" style="13" bestFit="1" customWidth="1"/>
    <col min="6159" max="6159" width="19.7109375" style="13" bestFit="1" customWidth="1"/>
    <col min="6160" max="6160" width="13.85546875" style="13" bestFit="1" customWidth="1"/>
    <col min="6161" max="6162" width="16.42578125" style="13" bestFit="1" customWidth="1"/>
    <col min="6163" max="6400" width="9.140625" style="13"/>
    <col min="6401" max="6401" width="6" style="13" customWidth="1"/>
    <col min="6402" max="6402" width="44.7109375" style="13" customWidth="1"/>
    <col min="6403" max="6403" width="16.7109375" style="13" bestFit="1" customWidth="1"/>
    <col min="6404" max="6404" width="16" style="13" bestFit="1" customWidth="1"/>
    <col min="6405" max="6405" width="21" style="13" bestFit="1" customWidth="1"/>
    <col min="6406" max="6406" width="14" style="13" bestFit="1" customWidth="1"/>
    <col min="6407" max="6408" width="16.7109375" style="13" bestFit="1" customWidth="1"/>
    <col min="6409" max="6409" width="6" style="13" bestFit="1" customWidth="1"/>
    <col min="6410" max="6410" width="9.140625" style="13"/>
    <col min="6411" max="6411" width="6" style="13" bestFit="1" customWidth="1"/>
    <col min="6412" max="6412" width="25.28515625" style="13" customWidth="1"/>
    <col min="6413" max="6413" width="16.42578125" style="13" bestFit="1" customWidth="1"/>
    <col min="6414" max="6414" width="13.85546875" style="13" bestFit="1" customWidth="1"/>
    <col min="6415" max="6415" width="19.7109375" style="13" bestFit="1" customWidth="1"/>
    <col min="6416" max="6416" width="13.85546875" style="13" bestFit="1" customWidth="1"/>
    <col min="6417" max="6418" width="16.42578125" style="13" bestFit="1" customWidth="1"/>
    <col min="6419" max="6656" width="9.140625" style="13"/>
    <col min="6657" max="6657" width="6" style="13" customWidth="1"/>
    <col min="6658" max="6658" width="44.7109375" style="13" customWidth="1"/>
    <col min="6659" max="6659" width="16.7109375" style="13" bestFit="1" customWidth="1"/>
    <col min="6660" max="6660" width="16" style="13" bestFit="1" customWidth="1"/>
    <col min="6661" max="6661" width="21" style="13" bestFit="1" customWidth="1"/>
    <col min="6662" max="6662" width="14" style="13" bestFit="1" customWidth="1"/>
    <col min="6663" max="6664" width="16.7109375" style="13" bestFit="1" customWidth="1"/>
    <col min="6665" max="6665" width="6" style="13" bestFit="1" customWidth="1"/>
    <col min="6666" max="6666" width="9.140625" style="13"/>
    <col min="6667" max="6667" width="6" style="13" bestFit="1" customWidth="1"/>
    <col min="6668" max="6668" width="25.28515625" style="13" customWidth="1"/>
    <col min="6669" max="6669" width="16.42578125" style="13" bestFit="1" customWidth="1"/>
    <col min="6670" max="6670" width="13.85546875" style="13" bestFit="1" customWidth="1"/>
    <col min="6671" max="6671" width="19.7109375" style="13" bestFit="1" customWidth="1"/>
    <col min="6672" max="6672" width="13.85546875" style="13" bestFit="1" customWidth="1"/>
    <col min="6673" max="6674" width="16.42578125" style="13" bestFit="1" customWidth="1"/>
    <col min="6675" max="6912" width="9.140625" style="13"/>
    <col min="6913" max="6913" width="6" style="13" customWidth="1"/>
    <col min="6914" max="6914" width="44.7109375" style="13" customWidth="1"/>
    <col min="6915" max="6915" width="16.7109375" style="13" bestFit="1" customWidth="1"/>
    <col min="6916" max="6916" width="16" style="13" bestFit="1" customWidth="1"/>
    <col min="6917" max="6917" width="21" style="13" bestFit="1" customWidth="1"/>
    <col min="6918" max="6918" width="14" style="13" bestFit="1" customWidth="1"/>
    <col min="6919" max="6920" width="16.7109375" style="13" bestFit="1" customWidth="1"/>
    <col min="6921" max="6921" width="6" style="13" bestFit="1" customWidth="1"/>
    <col min="6922" max="6922" width="9.140625" style="13"/>
    <col min="6923" max="6923" width="6" style="13" bestFit="1" customWidth="1"/>
    <col min="6924" max="6924" width="25.28515625" style="13" customWidth="1"/>
    <col min="6925" max="6925" width="16.42578125" style="13" bestFit="1" customWidth="1"/>
    <col min="6926" max="6926" width="13.85546875" style="13" bestFit="1" customWidth="1"/>
    <col min="6927" max="6927" width="19.7109375" style="13" bestFit="1" customWidth="1"/>
    <col min="6928" max="6928" width="13.85546875" style="13" bestFit="1" customWidth="1"/>
    <col min="6929" max="6930" width="16.42578125" style="13" bestFit="1" customWidth="1"/>
    <col min="6931" max="7168" width="9.140625" style="13"/>
    <col min="7169" max="7169" width="6" style="13" customWidth="1"/>
    <col min="7170" max="7170" width="44.7109375" style="13" customWidth="1"/>
    <col min="7171" max="7171" width="16.7109375" style="13" bestFit="1" customWidth="1"/>
    <col min="7172" max="7172" width="16" style="13" bestFit="1" customWidth="1"/>
    <col min="7173" max="7173" width="21" style="13" bestFit="1" customWidth="1"/>
    <col min="7174" max="7174" width="14" style="13" bestFit="1" customWidth="1"/>
    <col min="7175" max="7176" width="16.7109375" style="13" bestFit="1" customWidth="1"/>
    <col min="7177" max="7177" width="6" style="13" bestFit="1" customWidth="1"/>
    <col min="7178" max="7178" width="9.140625" style="13"/>
    <col min="7179" max="7179" width="6" style="13" bestFit="1" customWidth="1"/>
    <col min="7180" max="7180" width="25.28515625" style="13" customWidth="1"/>
    <col min="7181" max="7181" width="16.42578125" style="13" bestFit="1" customWidth="1"/>
    <col min="7182" max="7182" width="13.85546875" style="13" bestFit="1" customWidth="1"/>
    <col min="7183" max="7183" width="19.7109375" style="13" bestFit="1" customWidth="1"/>
    <col min="7184" max="7184" width="13.85546875" style="13" bestFit="1" customWidth="1"/>
    <col min="7185" max="7186" width="16.42578125" style="13" bestFit="1" customWidth="1"/>
    <col min="7187" max="7424" width="9.140625" style="13"/>
    <col min="7425" max="7425" width="6" style="13" customWidth="1"/>
    <col min="7426" max="7426" width="44.7109375" style="13" customWidth="1"/>
    <col min="7427" max="7427" width="16.7109375" style="13" bestFit="1" customWidth="1"/>
    <col min="7428" max="7428" width="16" style="13" bestFit="1" customWidth="1"/>
    <col min="7429" max="7429" width="21" style="13" bestFit="1" customWidth="1"/>
    <col min="7430" max="7430" width="14" style="13" bestFit="1" customWidth="1"/>
    <col min="7431" max="7432" width="16.7109375" style="13" bestFit="1" customWidth="1"/>
    <col min="7433" max="7433" width="6" style="13" bestFit="1" customWidth="1"/>
    <col min="7434" max="7434" width="9.140625" style="13"/>
    <col min="7435" max="7435" width="6" style="13" bestFit="1" customWidth="1"/>
    <col min="7436" max="7436" width="25.28515625" style="13" customWidth="1"/>
    <col min="7437" max="7437" width="16.42578125" style="13" bestFit="1" customWidth="1"/>
    <col min="7438" max="7438" width="13.85546875" style="13" bestFit="1" customWidth="1"/>
    <col min="7439" max="7439" width="19.7109375" style="13" bestFit="1" customWidth="1"/>
    <col min="7440" max="7440" width="13.85546875" style="13" bestFit="1" customWidth="1"/>
    <col min="7441" max="7442" width="16.42578125" style="13" bestFit="1" customWidth="1"/>
    <col min="7443" max="7680" width="9.140625" style="13"/>
    <col min="7681" max="7681" width="6" style="13" customWidth="1"/>
    <col min="7682" max="7682" width="44.7109375" style="13" customWidth="1"/>
    <col min="7683" max="7683" width="16.7109375" style="13" bestFit="1" customWidth="1"/>
    <col min="7684" max="7684" width="16" style="13" bestFit="1" customWidth="1"/>
    <col min="7685" max="7685" width="21" style="13" bestFit="1" customWidth="1"/>
    <col min="7686" max="7686" width="14" style="13" bestFit="1" customWidth="1"/>
    <col min="7687" max="7688" width="16.7109375" style="13" bestFit="1" customWidth="1"/>
    <col min="7689" max="7689" width="6" style="13" bestFit="1" customWidth="1"/>
    <col min="7690" max="7690" width="9.140625" style="13"/>
    <col min="7691" max="7691" width="6" style="13" bestFit="1" customWidth="1"/>
    <col min="7692" max="7692" width="25.28515625" style="13" customWidth="1"/>
    <col min="7693" max="7693" width="16.42578125" style="13" bestFit="1" customWidth="1"/>
    <col min="7694" max="7694" width="13.85546875" style="13" bestFit="1" customWidth="1"/>
    <col min="7695" max="7695" width="19.7109375" style="13" bestFit="1" customWidth="1"/>
    <col min="7696" max="7696" width="13.85546875" style="13" bestFit="1" customWidth="1"/>
    <col min="7697" max="7698" width="16.42578125" style="13" bestFit="1" customWidth="1"/>
    <col min="7699" max="7936" width="9.140625" style="13"/>
    <col min="7937" max="7937" width="6" style="13" customWidth="1"/>
    <col min="7938" max="7938" width="44.7109375" style="13" customWidth="1"/>
    <col min="7939" max="7939" width="16.7109375" style="13" bestFit="1" customWidth="1"/>
    <col min="7940" max="7940" width="16" style="13" bestFit="1" customWidth="1"/>
    <col min="7941" max="7941" width="21" style="13" bestFit="1" customWidth="1"/>
    <col min="7942" max="7942" width="14" style="13" bestFit="1" customWidth="1"/>
    <col min="7943" max="7944" width="16.7109375" style="13" bestFit="1" customWidth="1"/>
    <col min="7945" max="7945" width="6" style="13" bestFit="1" customWidth="1"/>
    <col min="7946" max="7946" width="9.140625" style="13"/>
    <col min="7947" max="7947" width="6" style="13" bestFit="1" customWidth="1"/>
    <col min="7948" max="7948" width="25.28515625" style="13" customWidth="1"/>
    <col min="7949" max="7949" width="16.42578125" style="13" bestFit="1" customWidth="1"/>
    <col min="7950" max="7950" width="13.85546875" style="13" bestFit="1" customWidth="1"/>
    <col min="7951" max="7951" width="19.7109375" style="13" bestFit="1" customWidth="1"/>
    <col min="7952" max="7952" width="13.85546875" style="13" bestFit="1" customWidth="1"/>
    <col min="7953" max="7954" width="16.42578125" style="13" bestFit="1" customWidth="1"/>
    <col min="7955" max="8192" width="9.140625" style="13"/>
    <col min="8193" max="8193" width="6" style="13" customWidth="1"/>
    <col min="8194" max="8194" width="44.7109375" style="13" customWidth="1"/>
    <col min="8195" max="8195" width="16.7109375" style="13" bestFit="1" customWidth="1"/>
    <col min="8196" max="8196" width="16" style="13" bestFit="1" customWidth="1"/>
    <col min="8197" max="8197" width="21" style="13" bestFit="1" customWidth="1"/>
    <col min="8198" max="8198" width="14" style="13" bestFit="1" customWidth="1"/>
    <col min="8199" max="8200" width="16.7109375" style="13" bestFit="1" customWidth="1"/>
    <col min="8201" max="8201" width="6" style="13" bestFit="1" customWidth="1"/>
    <col min="8202" max="8202" width="9.140625" style="13"/>
    <col min="8203" max="8203" width="6" style="13" bestFit="1" customWidth="1"/>
    <col min="8204" max="8204" width="25.28515625" style="13" customWidth="1"/>
    <col min="8205" max="8205" width="16.42578125" style="13" bestFit="1" customWidth="1"/>
    <col min="8206" max="8206" width="13.85546875" style="13" bestFit="1" customWidth="1"/>
    <col min="8207" max="8207" width="19.7109375" style="13" bestFit="1" customWidth="1"/>
    <col min="8208" max="8208" width="13.85546875" style="13" bestFit="1" customWidth="1"/>
    <col min="8209" max="8210" width="16.42578125" style="13" bestFit="1" customWidth="1"/>
    <col min="8211" max="8448" width="9.140625" style="13"/>
    <col min="8449" max="8449" width="6" style="13" customWidth="1"/>
    <col min="8450" max="8450" width="44.7109375" style="13" customWidth="1"/>
    <col min="8451" max="8451" width="16.7109375" style="13" bestFit="1" customWidth="1"/>
    <col min="8452" max="8452" width="16" style="13" bestFit="1" customWidth="1"/>
    <col min="8453" max="8453" width="21" style="13" bestFit="1" customWidth="1"/>
    <col min="8454" max="8454" width="14" style="13" bestFit="1" customWidth="1"/>
    <col min="8455" max="8456" width="16.7109375" style="13" bestFit="1" customWidth="1"/>
    <col min="8457" max="8457" width="6" style="13" bestFit="1" customWidth="1"/>
    <col min="8458" max="8458" width="9.140625" style="13"/>
    <col min="8459" max="8459" width="6" style="13" bestFit="1" customWidth="1"/>
    <col min="8460" max="8460" width="25.28515625" style="13" customWidth="1"/>
    <col min="8461" max="8461" width="16.42578125" style="13" bestFit="1" customWidth="1"/>
    <col min="8462" max="8462" width="13.85546875" style="13" bestFit="1" customWidth="1"/>
    <col min="8463" max="8463" width="19.7109375" style="13" bestFit="1" customWidth="1"/>
    <col min="8464" max="8464" width="13.85546875" style="13" bestFit="1" customWidth="1"/>
    <col min="8465" max="8466" width="16.42578125" style="13" bestFit="1" customWidth="1"/>
    <col min="8467" max="8704" width="9.140625" style="13"/>
    <col min="8705" max="8705" width="6" style="13" customWidth="1"/>
    <col min="8706" max="8706" width="44.7109375" style="13" customWidth="1"/>
    <col min="8707" max="8707" width="16.7109375" style="13" bestFit="1" customWidth="1"/>
    <col min="8708" max="8708" width="16" style="13" bestFit="1" customWidth="1"/>
    <col min="8709" max="8709" width="21" style="13" bestFit="1" customWidth="1"/>
    <col min="8710" max="8710" width="14" style="13" bestFit="1" customWidth="1"/>
    <col min="8711" max="8712" width="16.7109375" style="13" bestFit="1" customWidth="1"/>
    <col min="8713" max="8713" width="6" style="13" bestFit="1" customWidth="1"/>
    <col min="8714" max="8714" width="9.140625" style="13"/>
    <col min="8715" max="8715" width="6" style="13" bestFit="1" customWidth="1"/>
    <col min="8716" max="8716" width="25.28515625" style="13" customWidth="1"/>
    <col min="8717" max="8717" width="16.42578125" style="13" bestFit="1" customWidth="1"/>
    <col min="8718" max="8718" width="13.85546875" style="13" bestFit="1" customWidth="1"/>
    <col min="8719" max="8719" width="19.7109375" style="13" bestFit="1" customWidth="1"/>
    <col min="8720" max="8720" width="13.85546875" style="13" bestFit="1" customWidth="1"/>
    <col min="8721" max="8722" width="16.42578125" style="13" bestFit="1" customWidth="1"/>
    <col min="8723" max="8960" width="9.140625" style="13"/>
    <col min="8961" max="8961" width="6" style="13" customWidth="1"/>
    <col min="8962" max="8962" width="44.7109375" style="13" customWidth="1"/>
    <col min="8963" max="8963" width="16.7109375" style="13" bestFit="1" customWidth="1"/>
    <col min="8964" max="8964" width="16" style="13" bestFit="1" customWidth="1"/>
    <col min="8965" max="8965" width="21" style="13" bestFit="1" customWidth="1"/>
    <col min="8966" max="8966" width="14" style="13" bestFit="1" customWidth="1"/>
    <col min="8967" max="8968" width="16.7109375" style="13" bestFit="1" customWidth="1"/>
    <col min="8969" max="8969" width="6" style="13" bestFit="1" customWidth="1"/>
    <col min="8970" max="8970" width="9.140625" style="13"/>
    <col min="8971" max="8971" width="6" style="13" bestFit="1" customWidth="1"/>
    <col min="8972" max="8972" width="25.28515625" style="13" customWidth="1"/>
    <col min="8973" max="8973" width="16.42578125" style="13" bestFit="1" customWidth="1"/>
    <col min="8974" max="8974" width="13.85546875" style="13" bestFit="1" customWidth="1"/>
    <col min="8975" max="8975" width="19.7109375" style="13" bestFit="1" customWidth="1"/>
    <col min="8976" max="8976" width="13.85546875" style="13" bestFit="1" customWidth="1"/>
    <col min="8977" max="8978" width="16.42578125" style="13" bestFit="1" customWidth="1"/>
    <col min="8979" max="9216" width="9.140625" style="13"/>
    <col min="9217" max="9217" width="6" style="13" customWidth="1"/>
    <col min="9218" max="9218" width="44.7109375" style="13" customWidth="1"/>
    <col min="9219" max="9219" width="16.7109375" style="13" bestFit="1" customWidth="1"/>
    <col min="9220" max="9220" width="16" style="13" bestFit="1" customWidth="1"/>
    <col min="9221" max="9221" width="21" style="13" bestFit="1" customWidth="1"/>
    <col min="9222" max="9222" width="14" style="13" bestFit="1" customWidth="1"/>
    <col min="9223" max="9224" width="16.7109375" style="13" bestFit="1" customWidth="1"/>
    <col min="9225" max="9225" width="6" style="13" bestFit="1" customWidth="1"/>
    <col min="9226" max="9226" width="9.140625" style="13"/>
    <col min="9227" max="9227" width="6" style="13" bestFit="1" customWidth="1"/>
    <col min="9228" max="9228" width="25.28515625" style="13" customWidth="1"/>
    <col min="9229" max="9229" width="16.42578125" style="13" bestFit="1" customWidth="1"/>
    <col min="9230" max="9230" width="13.85546875" style="13" bestFit="1" customWidth="1"/>
    <col min="9231" max="9231" width="19.7109375" style="13" bestFit="1" customWidth="1"/>
    <col min="9232" max="9232" width="13.85546875" style="13" bestFit="1" customWidth="1"/>
    <col min="9233" max="9234" width="16.42578125" style="13" bestFit="1" customWidth="1"/>
    <col min="9235" max="9472" width="9.140625" style="13"/>
    <col min="9473" max="9473" width="6" style="13" customWidth="1"/>
    <col min="9474" max="9474" width="44.7109375" style="13" customWidth="1"/>
    <col min="9475" max="9475" width="16.7109375" style="13" bestFit="1" customWidth="1"/>
    <col min="9476" max="9476" width="16" style="13" bestFit="1" customWidth="1"/>
    <col min="9477" max="9477" width="21" style="13" bestFit="1" customWidth="1"/>
    <col min="9478" max="9478" width="14" style="13" bestFit="1" customWidth="1"/>
    <col min="9479" max="9480" width="16.7109375" style="13" bestFit="1" customWidth="1"/>
    <col min="9481" max="9481" width="6" style="13" bestFit="1" customWidth="1"/>
    <col min="9482" max="9482" width="9.140625" style="13"/>
    <col min="9483" max="9483" width="6" style="13" bestFit="1" customWidth="1"/>
    <col min="9484" max="9484" width="25.28515625" style="13" customWidth="1"/>
    <col min="9485" max="9485" width="16.42578125" style="13" bestFit="1" customWidth="1"/>
    <col min="9486" max="9486" width="13.85546875" style="13" bestFit="1" customWidth="1"/>
    <col min="9487" max="9487" width="19.7109375" style="13" bestFit="1" customWidth="1"/>
    <col min="9488" max="9488" width="13.85546875" style="13" bestFit="1" customWidth="1"/>
    <col min="9489" max="9490" width="16.42578125" style="13" bestFit="1" customWidth="1"/>
    <col min="9491" max="9728" width="9.140625" style="13"/>
    <col min="9729" max="9729" width="6" style="13" customWidth="1"/>
    <col min="9730" max="9730" width="44.7109375" style="13" customWidth="1"/>
    <col min="9731" max="9731" width="16.7109375" style="13" bestFit="1" customWidth="1"/>
    <col min="9732" max="9732" width="16" style="13" bestFit="1" customWidth="1"/>
    <col min="9733" max="9733" width="21" style="13" bestFit="1" customWidth="1"/>
    <col min="9734" max="9734" width="14" style="13" bestFit="1" customWidth="1"/>
    <col min="9735" max="9736" width="16.7109375" style="13" bestFit="1" customWidth="1"/>
    <col min="9737" max="9737" width="6" style="13" bestFit="1" customWidth="1"/>
    <col min="9738" max="9738" width="9.140625" style="13"/>
    <col min="9739" max="9739" width="6" style="13" bestFit="1" customWidth="1"/>
    <col min="9740" max="9740" width="25.28515625" style="13" customWidth="1"/>
    <col min="9741" max="9741" width="16.42578125" style="13" bestFit="1" customWidth="1"/>
    <col min="9742" max="9742" width="13.85546875" style="13" bestFit="1" customWidth="1"/>
    <col min="9743" max="9743" width="19.7109375" style="13" bestFit="1" customWidth="1"/>
    <col min="9744" max="9744" width="13.85546875" style="13" bestFit="1" customWidth="1"/>
    <col min="9745" max="9746" width="16.42578125" style="13" bestFit="1" customWidth="1"/>
    <col min="9747" max="9984" width="9.140625" style="13"/>
    <col min="9985" max="9985" width="6" style="13" customWidth="1"/>
    <col min="9986" max="9986" width="44.7109375" style="13" customWidth="1"/>
    <col min="9987" max="9987" width="16.7109375" style="13" bestFit="1" customWidth="1"/>
    <col min="9988" max="9988" width="16" style="13" bestFit="1" customWidth="1"/>
    <col min="9989" max="9989" width="21" style="13" bestFit="1" customWidth="1"/>
    <col min="9990" max="9990" width="14" style="13" bestFit="1" customWidth="1"/>
    <col min="9991" max="9992" width="16.7109375" style="13" bestFit="1" customWidth="1"/>
    <col min="9993" max="9993" width="6" style="13" bestFit="1" customWidth="1"/>
    <col min="9994" max="9994" width="9.140625" style="13"/>
    <col min="9995" max="9995" width="6" style="13" bestFit="1" customWidth="1"/>
    <col min="9996" max="9996" width="25.28515625" style="13" customWidth="1"/>
    <col min="9997" max="9997" width="16.42578125" style="13" bestFit="1" customWidth="1"/>
    <col min="9998" max="9998" width="13.85546875" style="13" bestFit="1" customWidth="1"/>
    <col min="9999" max="9999" width="19.7109375" style="13" bestFit="1" customWidth="1"/>
    <col min="10000" max="10000" width="13.85546875" style="13" bestFit="1" customWidth="1"/>
    <col min="10001" max="10002" width="16.42578125" style="13" bestFit="1" customWidth="1"/>
    <col min="10003" max="10240" width="9.140625" style="13"/>
    <col min="10241" max="10241" width="6" style="13" customWidth="1"/>
    <col min="10242" max="10242" width="44.7109375" style="13" customWidth="1"/>
    <col min="10243" max="10243" width="16.7109375" style="13" bestFit="1" customWidth="1"/>
    <col min="10244" max="10244" width="16" style="13" bestFit="1" customWidth="1"/>
    <col min="10245" max="10245" width="21" style="13" bestFit="1" customWidth="1"/>
    <col min="10246" max="10246" width="14" style="13" bestFit="1" customWidth="1"/>
    <col min="10247" max="10248" width="16.7109375" style="13" bestFit="1" customWidth="1"/>
    <col min="10249" max="10249" width="6" style="13" bestFit="1" customWidth="1"/>
    <col min="10250" max="10250" width="9.140625" style="13"/>
    <col min="10251" max="10251" width="6" style="13" bestFit="1" customWidth="1"/>
    <col min="10252" max="10252" width="25.28515625" style="13" customWidth="1"/>
    <col min="10253" max="10253" width="16.42578125" style="13" bestFit="1" customWidth="1"/>
    <col min="10254" max="10254" width="13.85546875" style="13" bestFit="1" customWidth="1"/>
    <col min="10255" max="10255" width="19.7109375" style="13" bestFit="1" customWidth="1"/>
    <col min="10256" max="10256" width="13.85546875" style="13" bestFit="1" customWidth="1"/>
    <col min="10257" max="10258" width="16.42578125" style="13" bestFit="1" customWidth="1"/>
    <col min="10259" max="10496" width="9.140625" style="13"/>
    <col min="10497" max="10497" width="6" style="13" customWidth="1"/>
    <col min="10498" max="10498" width="44.7109375" style="13" customWidth="1"/>
    <col min="10499" max="10499" width="16.7109375" style="13" bestFit="1" customWidth="1"/>
    <col min="10500" max="10500" width="16" style="13" bestFit="1" customWidth="1"/>
    <col min="10501" max="10501" width="21" style="13" bestFit="1" customWidth="1"/>
    <col min="10502" max="10502" width="14" style="13" bestFit="1" customWidth="1"/>
    <col min="10503" max="10504" width="16.7109375" style="13" bestFit="1" customWidth="1"/>
    <col min="10505" max="10505" width="6" style="13" bestFit="1" customWidth="1"/>
    <col min="10506" max="10506" width="9.140625" style="13"/>
    <col min="10507" max="10507" width="6" style="13" bestFit="1" customWidth="1"/>
    <col min="10508" max="10508" width="25.28515625" style="13" customWidth="1"/>
    <col min="10509" max="10509" width="16.42578125" style="13" bestFit="1" customWidth="1"/>
    <col min="10510" max="10510" width="13.85546875" style="13" bestFit="1" customWidth="1"/>
    <col min="10511" max="10511" width="19.7109375" style="13" bestFit="1" customWidth="1"/>
    <col min="10512" max="10512" width="13.85546875" style="13" bestFit="1" customWidth="1"/>
    <col min="10513" max="10514" width="16.42578125" style="13" bestFit="1" customWidth="1"/>
    <col min="10515" max="10752" width="9.140625" style="13"/>
    <col min="10753" max="10753" width="6" style="13" customWidth="1"/>
    <col min="10754" max="10754" width="44.7109375" style="13" customWidth="1"/>
    <col min="10755" max="10755" width="16.7109375" style="13" bestFit="1" customWidth="1"/>
    <col min="10756" max="10756" width="16" style="13" bestFit="1" customWidth="1"/>
    <col min="10757" max="10757" width="21" style="13" bestFit="1" customWidth="1"/>
    <col min="10758" max="10758" width="14" style="13" bestFit="1" customWidth="1"/>
    <col min="10759" max="10760" width="16.7109375" style="13" bestFit="1" customWidth="1"/>
    <col min="10761" max="10761" width="6" style="13" bestFit="1" customWidth="1"/>
    <col min="10762" max="10762" width="9.140625" style="13"/>
    <col min="10763" max="10763" width="6" style="13" bestFit="1" customWidth="1"/>
    <col min="10764" max="10764" width="25.28515625" style="13" customWidth="1"/>
    <col min="10765" max="10765" width="16.42578125" style="13" bestFit="1" customWidth="1"/>
    <col min="10766" max="10766" width="13.85546875" style="13" bestFit="1" customWidth="1"/>
    <col min="10767" max="10767" width="19.7109375" style="13" bestFit="1" customWidth="1"/>
    <col min="10768" max="10768" width="13.85546875" style="13" bestFit="1" customWidth="1"/>
    <col min="10769" max="10770" width="16.42578125" style="13" bestFit="1" customWidth="1"/>
    <col min="10771" max="11008" width="9.140625" style="13"/>
    <col min="11009" max="11009" width="6" style="13" customWidth="1"/>
    <col min="11010" max="11010" width="44.7109375" style="13" customWidth="1"/>
    <col min="11011" max="11011" width="16.7109375" style="13" bestFit="1" customWidth="1"/>
    <col min="11012" max="11012" width="16" style="13" bestFit="1" customWidth="1"/>
    <col min="11013" max="11013" width="21" style="13" bestFit="1" customWidth="1"/>
    <col min="11014" max="11014" width="14" style="13" bestFit="1" customWidth="1"/>
    <col min="11015" max="11016" width="16.7109375" style="13" bestFit="1" customWidth="1"/>
    <col min="11017" max="11017" width="6" style="13" bestFit="1" customWidth="1"/>
    <col min="11018" max="11018" width="9.140625" style="13"/>
    <col min="11019" max="11019" width="6" style="13" bestFit="1" customWidth="1"/>
    <col min="11020" max="11020" width="25.28515625" style="13" customWidth="1"/>
    <col min="11021" max="11021" width="16.42578125" style="13" bestFit="1" customWidth="1"/>
    <col min="11022" max="11022" width="13.85546875" style="13" bestFit="1" customWidth="1"/>
    <col min="11023" max="11023" width="19.7109375" style="13" bestFit="1" customWidth="1"/>
    <col min="11024" max="11024" width="13.85546875" style="13" bestFit="1" customWidth="1"/>
    <col min="11025" max="11026" width="16.42578125" style="13" bestFit="1" customWidth="1"/>
    <col min="11027" max="11264" width="9.140625" style="13"/>
    <col min="11265" max="11265" width="6" style="13" customWidth="1"/>
    <col min="11266" max="11266" width="44.7109375" style="13" customWidth="1"/>
    <col min="11267" max="11267" width="16.7109375" style="13" bestFit="1" customWidth="1"/>
    <col min="11268" max="11268" width="16" style="13" bestFit="1" customWidth="1"/>
    <col min="11269" max="11269" width="21" style="13" bestFit="1" customWidth="1"/>
    <col min="11270" max="11270" width="14" style="13" bestFit="1" customWidth="1"/>
    <col min="11271" max="11272" width="16.7109375" style="13" bestFit="1" customWidth="1"/>
    <col min="11273" max="11273" width="6" style="13" bestFit="1" customWidth="1"/>
    <col min="11274" max="11274" width="9.140625" style="13"/>
    <col min="11275" max="11275" width="6" style="13" bestFit="1" customWidth="1"/>
    <col min="11276" max="11276" width="25.28515625" style="13" customWidth="1"/>
    <col min="11277" max="11277" width="16.42578125" style="13" bestFit="1" customWidth="1"/>
    <col min="11278" max="11278" width="13.85546875" style="13" bestFit="1" customWidth="1"/>
    <col min="11279" max="11279" width="19.7109375" style="13" bestFit="1" customWidth="1"/>
    <col min="11280" max="11280" width="13.85546875" style="13" bestFit="1" customWidth="1"/>
    <col min="11281" max="11282" width="16.42578125" style="13" bestFit="1" customWidth="1"/>
    <col min="11283" max="11520" width="9.140625" style="13"/>
    <col min="11521" max="11521" width="6" style="13" customWidth="1"/>
    <col min="11522" max="11522" width="44.7109375" style="13" customWidth="1"/>
    <col min="11523" max="11523" width="16.7109375" style="13" bestFit="1" customWidth="1"/>
    <col min="11524" max="11524" width="16" style="13" bestFit="1" customWidth="1"/>
    <col min="11525" max="11525" width="21" style="13" bestFit="1" customWidth="1"/>
    <col min="11526" max="11526" width="14" style="13" bestFit="1" customWidth="1"/>
    <col min="11527" max="11528" width="16.7109375" style="13" bestFit="1" customWidth="1"/>
    <col min="11529" max="11529" width="6" style="13" bestFit="1" customWidth="1"/>
    <col min="11530" max="11530" width="9.140625" style="13"/>
    <col min="11531" max="11531" width="6" style="13" bestFit="1" customWidth="1"/>
    <col min="11532" max="11532" width="25.28515625" style="13" customWidth="1"/>
    <col min="11533" max="11533" width="16.42578125" style="13" bestFit="1" customWidth="1"/>
    <col min="11534" max="11534" width="13.85546875" style="13" bestFit="1" customWidth="1"/>
    <col min="11535" max="11535" width="19.7109375" style="13" bestFit="1" customWidth="1"/>
    <col min="11536" max="11536" width="13.85546875" style="13" bestFit="1" customWidth="1"/>
    <col min="11537" max="11538" width="16.42578125" style="13" bestFit="1" customWidth="1"/>
    <col min="11539" max="11776" width="9.140625" style="13"/>
    <col min="11777" max="11777" width="6" style="13" customWidth="1"/>
    <col min="11778" max="11778" width="44.7109375" style="13" customWidth="1"/>
    <col min="11779" max="11779" width="16.7109375" style="13" bestFit="1" customWidth="1"/>
    <col min="11780" max="11780" width="16" style="13" bestFit="1" customWidth="1"/>
    <col min="11781" max="11781" width="21" style="13" bestFit="1" customWidth="1"/>
    <col min="11782" max="11782" width="14" style="13" bestFit="1" customWidth="1"/>
    <col min="11783" max="11784" width="16.7109375" style="13" bestFit="1" customWidth="1"/>
    <col min="11785" max="11785" width="6" style="13" bestFit="1" customWidth="1"/>
    <col min="11786" max="11786" width="9.140625" style="13"/>
    <col min="11787" max="11787" width="6" style="13" bestFit="1" customWidth="1"/>
    <col min="11788" max="11788" width="25.28515625" style="13" customWidth="1"/>
    <col min="11789" max="11789" width="16.42578125" style="13" bestFit="1" customWidth="1"/>
    <col min="11790" max="11790" width="13.85546875" style="13" bestFit="1" customWidth="1"/>
    <col min="11791" max="11791" width="19.7109375" style="13" bestFit="1" customWidth="1"/>
    <col min="11792" max="11792" width="13.85546875" style="13" bestFit="1" customWidth="1"/>
    <col min="11793" max="11794" width="16.42578125" style="13" bestFit="1" customWidth="1"/>
    <col min="11795" max="12032" width="9.140625" style="13"/>
    <col min="12033" max="12033" width="6" style="13" customWidth="1"/>
    <col min="12034" max="12034" width="44.7109375" style="13" customWidth="1"/>
    <col min="12035" max="12035" width="16.7109375" style="13" bestFit="1" customWidth="1"/>
    <col min="12036" max="12036" width="16" style="13" bestFit="1" customWidth="1"/>
    <col min="12037" max="12037" width="21" style="13" bestFit="1" customWidth="1"/>
    <col min="12038" max="12038" width="14" style="13" bestFit="1" customWidth="1"/>
    <col min="12039" max="12040" width="16.7109375" style="13" bestFit="1" customWidth="1"/>
    <col min="12041" max="12041" width="6" style="13" bestFit="1" customWidth="1"/>
    <col min="12042" max="12042" width="9.140625" style="13"/>
    <col min="12043" max="12043" width="6" style="13" bestFit="1" customWidth="1"/>
    <col min="12044" max="12044" width="25.28515625" style="13" customWidth="1"/>
    <col min="12045" max="12045" width="16.42578125" style="13" bestFit="1" customWidth="1"/>
    <col min="12046" max="12046" width="13.85546875" style="13" bestFit="1" customWidth="1"/>
    <col min="12047" max="12047" width="19.7109375" style="13" bestFit="1" customWidth="1"/>
    <col min="12048" max="12048" width="13.85546875" style="13" bestFit="1" customWidth="1"/>
    <col min="12049" max="12050" width="16.42578125" style="13" bestFit="1" customWidth="1"/>
    <col min="12051" max="12288" width="9.140625" style="13"/>
    <col min="12289" max="12289" width="6" style="13" customWidth="1"/>
    <col min="12290" max="12290" width="44.7109375" style="13" customWidth="1"/>
    <col min="12291" max="12291" width="16.7109375" style="13" bestFit="1" customWidth="1"/>
    <col min="12292" max="12292" width="16" style="13" bestFit="1" customWidth="1"/>
    <col min="12293" max="12293" width="21" style="13" bestFit="1" customWidth="1"/>
    <col min="12294" max="12294" width="14" style="13" bestFit="1" customWidth="1"/>
    <col min="12295" max="12296" width="16.7109375" style="13" bestFit="1" customWidth="1"/>
    <col min="12297" max="12297" width="6" style="13" bestFit="1" customWidth="1"/>
    <col min="12298" max="12298" width="9.140625" style="13"/>
    <col min="12299" max="12299" width="6" style="13" bestFit="1" customWidth="1"/>
    <col min="12300" max="12300" width="25.28515625" style="13" customWidth="1"/>
    <col min="12301" max="12301" width="16.42578125" style="13" bestFit="1" customWidth="1"/>
    <col min="12302" max="12302" width="13.85546875" style="13" bestFit="1" customWidth="1"/>
    <col min="12303" max="12303" width="19.7109375" style="13" bestFit="1" customWidth="1"/>
    <col min="12304" max="12304" width="13.85546875" style="13" bestFit="1" customWidth="1"/>
    <col min="12305" max="12306" width="16.42578125" style="13" bestFit="1" customWidth="1"/>
    <col min="12307" max="12544" width="9.140625" style="13"/>
    <col min="12545" max="12545" width="6" style="13" customWidth="1"/>
    <col min="12546" max="12546" width="44.7109375" style="13" customWidth="1"/>
    <col min="12547" max="12547" width="16.7109375" style="13" bestFit="1" customWidth="1"/>
    <col min="12548" max="12548" width="16" style="13" bestFit="1" customWidth="1"/>
    <col min="12549" max="12549" width="21" style="13" bestFit="1" customWidth="1"/>
    <col min="12550" max="12550" width="14" style="13" bestFit="1" customWidth="1"/>
    <col min="12551" max="12552" width="16.7109375" style="13" bestFit="1" customWidth="1"/>
    <col min="12553" max="12553" width="6" style="13" bestFit="1" customWidth="1"/>
    <col min="12554" max="12554" width="9.140625" style="13"/>
    <col min="12555" max="12555" width="6" style="13" bestFit="1" customWidth="1"/>
    <col min="12556" max="12556" width="25.28515625" style="13" customWidth="1"/>
    <col min="12557" max="12557" width="16.42578125" style="13" bestFit="1" customWidth="1"/>
    <col min="12558" max="12558" width="13.85546875" style="13" bestFit="1" customWidth="1"/>
    <col min="12559" max="12559" width="19.7109375" style="13" bestFit="1" customWidth="1"/>
    <col min="12560" max="12560" width="13.85546875" style="13" bestFit="1" customWidth="1"/>
    <col min="12561" max="12562" width="16.42578125" style="13" bestFit="1" customWidth="1"/>
    <col min="12563" max="12800" width="9.140625" style="13"/>
    <col min="12801" max="12801" width="6" style="13" customWidth="1"/>
    <col min="12802" max="12802" width="44.7109375" style="13" customWidth="1"/>
    <col min="12803" max="12803" width="16.7109375" style="13" bestFit="1" customWidth="1"/>
    <col min="12804" max="12804" width="16" style="13" bestFit="1" customWidth="1"/>
    <col min="12805" max="12805" width="21" style="13" bestFit="1" customWidth="1"/>
    <col min="12806" max="12806" width="14" style="13" bestFit="1" customWidth="1"/>
    <col min="12807" max="12808" width="16.7109375" style="13" bestFit="1" customWidth="1"/>
    <col min="12809" max="12809" width="6" style="13" bestFit="1" customWidth="1"/>
    <col min="12810" max="12810" width="9.140625" style="13"/>
    <col min="12811" max="12811" width="6" style="13" bestFit="1" customWidth="1"/>
    <col min="12812" max="12812" width="25.28515625" style="13" customWidth="1"/>
    <col min="12813" max="12813" width="16.42578125" style="13" bestFit="1" customWidth="1"/>
    <col min="12814" max="12814" width="13.85546875" style="13" bestFit="1" customWidth="1"/>
    <col min="12815" max="12815" width="19.7109375" style="13" bestFit="1" customWidth="1"/>
    <col min="12816" max="12816" width="13.85546875" style="13" bestFit="1" customWidth="1"/>
    <col min="12817" max="12818" width="16.42578125" style="13" bestFit="1" customWidth="1"/>
    <col min="12819" max="13056" width="9.140625" style="13"/>
    <col min="13057" max="13057" width="6" style="13" customWidth="1"/>
    <col min="13058" max="13058" width="44.7109375" style="13" customWidth="1"/>
    <col min="13059" max="13059" width="16.7109375" style="13" bestFit="1" customWidth="1"/>
    <col min="13060" max="13060" width="16" style="13" bestFit="1" customWidth="1"/>
    <col min="13061" max="13061" width="21" style="13" bestFit="1" customWidth="1"/>
    <col min="13062" max="13062" width="14" style="13" bestFit="1" customWidth="1"/>
    <col min="13063" max="13064" width="16.7109375" style="13" bestFit="1" customWidth="1"/>
    <col min="13065" max="13065" width="6" style="13" bestFit="1" customWidth="1"/>
    <col min="13066" max="13066" width="9.140625" style="13"/>
    <col min="13067" max="13067" width="6" style="13" bestFit="1" customWidth="1"/>
    <col min="13068" max="13068" width="25.28515625" style="13" customWidth="1"/>
    <col min="13069" max="13069" width="16.42578125" style="13" bestFit="1" customWidth="1"/>
    <col min="13070" max="13070" width="13.85546875" style="13" bestFit="1" customWidth="1"/>
    <col min="13071" max="13071" width="19.7109375" style="13" bestFit="1" customWidth="1"/>
    <col min="13072" max="13072" width="13.85546875" style="13" bestFit="1" customWidth="1"/>
    <col min="13073" max="13074" width="16.42578125" style="13" bestFit="1" customWidth="1"/>
    <col min="13075" max="13312" width="9.140625" style="13"/>
    <col min="13313" max="13313" width="6" style="13" customWidth="1"/>
    <col min="13314" max="13314" width="44.7109375" style="13" customWidth="1"/>
    <col min="13315" max="13315" width="16.7109375" style="13" bestFit="1" customWidth="1"/>
    <col min="13316" max="13316" width="16" style="13" bestFit="1" customWidth="1"/>
    <col min="13317" max="13317" width="21" style="13" bestFit="1" customWidth="1"/>
    <col min="13318" max="13318" width="14" style="13" bestFit="1" customWidth="1"/>
    <col min="13319" max="13320" width="16.7109375" style="13" bestFit="1" customWidth="1"/>
    <col min="13321" max="13321" width="6" style="13" bestFit="1" customWidth="1"/>
    <col min="13322" max="13322" width="9.140625" style="13"/>
    <col min="13323" max="13323" width="6" style="13" bestFit="1" customWidth="1"/>
    <col min="13324" max="13324" width="25.28515625" style="13" customWidth="1"/>
    <col min="13325" max="13325" width="16.42578125" style="13" bestFit="1" customWidth="1"/>
    <col min="13326" max="13326" width="13.85546875" style="13" bestFit="1" customWidth="1"/>
    <col min="13327" max="13327" width="19.7109375" style="13" bestFit="1" customWidth="1"/>
    <col min="13328" max="13328" width="13.85546875" style="13" bestFit="1" customWidth="1"/>
    <col min="13329" max="13330" width="16.42578125" style="13" bestFit="1" customWidth="1"/>
    <col min="13331" max="13568" width="9.140625" style="13"/>
    <col min="13569" max="13569" width="6" style="13" customWidth="1"/>
    <col min="13570" max="13570" width="44.7109375" style="13" customWidth="1"/>
    <col min="13571" max="13571" width="16.7109375" style="13" bestFit="1" customWidth="1"/>
    <col min="13572" max="13572" width="16" style="13" bestFit="1" customWidth="1"/>
    <col min="13573" max="13573" width="21" style="13" bestFit="1" customWidth="1"/>
    <col min="13574" max="13574" width="14" style="13" bestFit="1" customWidth="1"/>
    <col min="13575" max="13576" width="16.7109375" style="13" bestFit="1" customWidth="1"/>
    <col min="13577" max="13577" width="6" style="13" bestFit="1" customWidth="1"/>
    <col min="13578" max="13578" width="9.140625" style="13"/>
    <col min="13579" max="13579" width="6" style="13" bestFit="1" customWidth="1"/>
    <col min="13580" max="13580" width="25.28515625" style="13" customWidth="1"/>
    <col min="13581" max="13581" width="16.42578125" style="13" bestFit="1" customWidth="1"/>
    <col min="13582" max="13582" width="13.85546875" style="13" bestFit="1" customWidth="1"/>
    <col min="13583" max="13583" width="19.7109375" style="13" bestFit="1" customWidth="1"/>
    <col min="13584" max="13584" width="13.85546875" style="13" bestFit="1" customWidth="1"/>
    <col min="13585" max="13586" width="16.42578125" style="13" bestFit="1" customWidth="1"/>
    <col min="13587" max="13824" width="9.140625" style="13"/>
    <col min="13825" max="13825" width="6" style="13" customWidth="1"/>
    <col min="13826" max="13826" width="44.7109375" style="13" customWidth="1"/>
    <col min="13827" max="13827" width="16.7109375" style="13" bestFit="1" customWidth="1"/>
    <col min="13828" max="13828" width="16" style="13" bestFit="1" customWidth="1"/>
    <col min="13829" max="13829" width="21" style="13" bestFit="1" customWidth="1"/>
    <col min="13830" max="13830" width="14" style="13" bestFit="1" customWidth="1"/>
    <col min="13831" max="13832" width="16.7109375" style="13" bestFit="1" customWidth="1"/>
    <col min="13833" max="13833" width="6" style="13" bestFit="1" customWidth="1"/>
    <col min="13834" max="13834" width="9.140625" style="13"/>
    <col min="13835" max="13835" width="6" style="13" bestFit="1" customWidth="1"/>
    <col min="13836" max="13836" width="25.28515625" style="13" customWidth="1"/>
    <col min="13837" max="13837" width="16.42578125" style="13" bestFit="1" customWidth="1"/>
    <col min="13838" max="13838" width="13.85546875" style="13" bestFit="1" customWidth="1"/>
    <col min="13839" max="13839" width="19.7109375" style="13" bestFit="1" customWidth="1"/>
    <col min="13840" max="13840" width="13.85546875" style="13" bestFit="1" customWidth="1"/>
    <col min="13841" max="13842" width="16.42578125" style="13" bestFit="1" customWidth="1"/>
    <col min="13843" max="14080" width="9.140625" style="13"/>
    <col min="14081" max="14081" width="6" style="13" customWidth="1"/>
    <col min="14082" max="14082" width="44.7109375" style="13" customWidth="1"/>
    <col min="14083" max="14083" width="16.7109375" style="13" bestFit="1" customWidth="1"/>
    <col min="14084" max="14084" width="16" style="13" bestFit="1" customWidth="1"/>
    <col min="14085" max="14085" width="21" style="13" bestFit="1" customWidth="1"/>
    <col min="14086" max="14086" width="14" style="13" bestFit="1" customWidth="1"/>
    <col min="14087" max="14088" width="16.7109375" style="13" bestFit="1" customWidth="1"/>
    <col min="14089" max="14089" width="6" style="13" bestFit="1" customWidth="1"/>
    <col min="14090" max="14090" width="9.140625" style="13"/>
    <col min="14091" max="14091" width="6" style="13" bestFit="1" customWidth="1"/>
    <col min="14092" max="14092" width="25.28515625" style="13" customWidth="1"/>
    <col min="14093" max="14093" width="16.42578125" style="13" bestFit="1" customWidth="1"/>
    <col min="14094" max="14094" width="13.85546875" style="13" bestFit="1" customWidth="1"/>
    <col min="14095" max="14095" width="19.7109375" style="13" bestFit="1" customWidth="1"/>
    <col min="14096" max="14096" width="13.85546875" style="13" bestFit="1" customWidth="1"/>
    <col min="14097" max="14098" width="16.42578125" style="13" bestFit="1" customWidth="1"/>
    <col min="14099" max="14336" width="9.140625" style="13"/>
    <col min="14337" max="14337" width="6" style="13" customWidth="1"/>
    <col min="14338" max="14338" width="44.7109375" style="13" customWidth="1"/>
    <col min="14339" max="14339" width="16.7109375" style="13" bestFit="1" customWidth="1"/>
    <col min="14340" max="14340" width="16" style="13" bestFit="1" customWidth="1"/>
    <col min="14341" max="14341" width="21" style="13" bestFit="1" customWidth="1"/>
    <col min="14342" max="14342" width="14" style="13" bestFit="1" customWidth="1"/>
    <col min="14343" max="14344" width="16.7109375" style="13" bestFit="1" customWidth="1"/>
    <col min="14345" max="14345" width="6" style="13" bestFit="1" customWidth="1"/>
    <col min="14346" max="14346" width="9.140625" style="13"/>
    <col min="14347" max="14347" width="6" style="13" bestFit="1" customWidth="1"/>
    <col min="14348" max="14348" width="25.28515625" style="13" customWidth="1"/>
    <col min="14349" max="14349" width="16.42578125" style="13" bestFit="1" customWidth="1"/>
    <col min="14350" max="14350" width="13.85546875" style="13" bestFit="1" customWidth="1"/>
    <col min="14351" max="14351" width="19.7109375" style="13" bestFit="1" customWidth="1"/>
    <col min="14352" max="14352" width="13.85546875" style="13" bestFit="1" customWidth="1"/>
    <col min="14353" max="14354" width="16.42578125" style="13" bestFit="1" customWidth="1"/>
    <col min="14355" max="14592" width="9.140625" style="13"/>
    <col min="14593" max="14593" width="6" style="13" customWidth="1"/>
    <col min="14594" max="14594" width="44.7109375" style="13" customWidth="1"/>
    <col min="14595" max="14595" width="16.7109375" style="13" bestFit="1" customWidth="1"/>
    <col min="14596" max="14596" width="16" style="13" bestFit="1" customWidth="1"/>
    <col min="14597" max="14597" width="21" style="13" bestFit="1" customWidth="1"/>
    <col min="14598" max="14598" width="14" style="13" bestFit="1" customWidth="1"/>
    <col min="14599" max="14600" width="16.7109375" style="13" bestFit="1" customWidth="1"/>
    <col min="14601" max="14601" width="6" style="13" bestFit="1" customWidth="1"/>
    <col min="14602" max="14602" width="9.140625" style="13"/>
    <col min="14603" max="14603" width="6" style="13" bestFit="1" customWidth="1"/>
    <col min="14604" max="14604" width="25.28515625" style="13" customWidth="1"/>
    <col min="14605" max="14605" width="16.42578125" style="13" bestFit="1" customWidth="1"/>
    <col min="14606" max="14606" width="13.85546875" style="13" bestFit="1" customWidth="1"/>
    <col min="14607" max="14607" width="19.7109375" style="13" bestFit="1" customWidth="1"/>
    <col min="14608" max="14608" width="13.85546875" style="13" bestFit="1" customWidth="1"/>
    <col min="14609" max="14610" width="16.42578125" style="13" bestFit="1" customWidth="1"/>
    <col min="14611" max="14848" width="9.140625" style="13"/>
    <col min="14849" max="14849" width="6" style="13" customWidth="1"/>
    <col min="14850" max="14850" width="44.7109375" style="13" customWidth="1"/>
    <col min="14851" max="14851" width="16.7109375" style="13" bestFit="1" customWidth="1"/>
    <col min="14852" max="14852" width="16" style="13" bestFit="1" customWidth="1"/>
    <col min="14853" max="14853" width="21" style="13" bestFit="1" customWidth="1"/>
    <col min="14854" max="14854" width="14" style="13" bestFit="1" customWidth="1"/>
    <col min="14855" max="14856" width="16.7109375" style="13" bestFit="1" customWidth="1"/>
    <col min="14857" max="14857" width="6" style="13" bestFit="1" customWidth="1"/>
    <col min="14858" max="14858" width="9.140625" style="13"/>
    <col min="14859" max="14859" width="6" style="13" bestFit="1" customWidth="1"/>
    <col min="14860" max="14860" width="25.28515625" style="13" customWidth="1"/>
    <col min="14861" max="14861" width="16.42578125" style="13" bestFit="1" customWidth="1"/>
    <col min="14862" max="14862" width="13.85546875" style="13" bestFit="1" customWidth="1"/>
    <col min="14863" max="14863" width="19.7109375" style="13" bestFit="1" customWidth="1"/>
    <col min="14864" max="14864" width="13.85546875" style="13" bestFit="1" customWidth="1"/>
    <col min="14865" max="14866" width="16.42578125" style="13" bestFit="1" customWidth="1"/>
    <col min="14867" max="15104" width="9.140625" style="13"/>
    <col min="15105" max="15105" width="6" style="13" customWidth="1"/>
    <col min="15106" max="15106" width="44.7109375" style="13" customWidth="1"/>
    <col min="15107" max="15107" width="16.7109375" style="13" bestFit="1" customWidth="1"/>
    <col min="15108" max="15108" width="16" style="13" bestFit="1" customWidth="1"/>
    <col min="15109" max="15109" width="21" style="13" bestFit="1" customWidth="1"/>
    <col min="15110" max="15110" width="14" style="13" bestFit="1" customWidth="1"/>
    <col min="15111" max="15112" width="16.7109375" style="13" bestFit="1" customWidth="1"/>
    <col min="15113" max="15113" width="6" style="13" bestFit="1" customWidth="1"/>
    <col min="15114" max="15114" width="9.140625" style="13"/>
    <col min="15115" max="15115" width="6" style="13" bestFit="1" customWidth="1"/>
    <col min="15116" max="15116" width="25.28515625" style="13" customWidth="1"/>
    <col min="15117" max="15117" width="16.42578125" style="13" bestFit="1" customWidth="1"/>
    <col min="15118" max="15118" width="13.85546875" style="13" bestFit="1" customWidth="1"/>
    <col min="15119" max="15119" width="19.7109375" style="13" bestFit="1" customWidth="1"/>
    <col min="15120" max="15120" width="13.85546875" style="13" bestFit="1" customWidth="1"/>
    <col min="15121" max="15122" width="16.42578125" style="13" bestFit="1" customWidth="1"/>
    <col min="15123" max="15360" width="9.140625" style="13"/>
    <col min="15361" max="15361" width="6" style="13" customWidth="1"/>
    <col min="15362" max="15362" width="44.7109375" style="13" customWidth="1"/>
    <col min="15363" max="15363" width="16.7109375" style="13" bestFit="1" customWidth="1"/>
    <col min="15364" max="15364" width="16" style="13" bestFit="1" customWidth="1"/>
    <col min="15365" max="15365" width="21" style="13" bestFit="1" customWidth="1"/>
    <col min="15366" max="15366" width="14" style="13" bestFit="1" customWidth="1"/>
    <col min="15367" max="15368" width="16.7109375" style="13" bestFit="1" customWidth="1"/>
    <col min="15369" max="15369" width="6" style="13" bestFit="1" customWidth="1"/>
    <col min="15370" max="15370" width="9.140625" style="13"/>
    <col min="15371" max="15371" width="6" style="13" bestFit="1" customWidth="1"/>
    <col min="15372" max="15372" width="25.28515625" style="13" customWidth="1"/>
    <col min="15373" max="15373" width="16.42578125" style="13" bestFit="1" customWidth="1"/>
    <col min="15374" max="15374" width="13.85546875" style="13" bestFit="1" customWidth="1"/>
    <col min="15375" max="15375" width="19.7109375" style="13" bestFit="1" customWidth="1"/>
    <col min="15376" max="15376" width="13.85546875" style="13" bestFit="1" customWidth="1"/>
    <col min="15377" max="15378" width="16.42578125" style="13" bestFit="1" customWidth="1"/>
    <col min="15379" max="15616" width="9.140625" style="13"/>
    <col min="15617" max="15617" width="6" style="13" customWidth="1"/>
    <col min="15618" max="15618" width="44.7109375" style="13" customWidth="1"/>
    <col min="15619" max="15619" width="16.7109375" style="13" bestFit="1" customWidth="1"/>
    <col min="15620" max="15620" width="16" style="13" bestFit="1" customWidth="1"/>
    <col min="15621" max="15621" width="21" style="13" bestFit="1" customWidth="1"/>
    <col min="15622" max="15622" width="14" style="13" bestFit="1" customWidth="1"/>
    <col min="15623" max="15624" width="16.7109375" style="13" bestFit="1" customWidth="1"/>
    <col min="15625" max="15625" width="6" style="13" bestFit="1" customWidth="1"/>
    <col min="15626" max="15626" width="9.140625" style="13"/>
    <col min="15627" max="15627" width="6" style="13" bestFit="1" customWidth="1"/>
    <col min="15628" max="15628" width="25.28515625" style="13" customWidth="1"/>
    <col min="15629" max="15629" width="16.42578125" style="13" bestFit="1" customWidth="1"/>
    <col min="15630" max="15630" width="13.85546875" style="13" bestFit="1" customWidth="1"/>
    <col min="15631" max="15631" width="19.7109375" style="13" bestFit="1" customWidth="1"/>
    <col min="15632" max="15632" width="13.85546875" style="13" bestFit="1" customWidth="1"/>
    <col min="15633" max="15634" width="16.42578125" style="13" bestFit="1" customWidth="1"/>
    <col min="15635" max="15872" width="9.140625" style="13"/>
    <col min="15873" max="15873" width="6" style="13" customWidth="1"/>
    <col min="15874" max="15874" width="44.7109375" style="13" customWidth="1"/>
    <col min="15875" max="15875" width="16.7109375" style="13" bestFit="1" customWidth="1"/>
    <col min="15876" max="15876" width="16" style="13" bestFit="1" customWidth="1"/>
    <col min="15877" max="15877" width="21" style="13" bestFit="1" customWidth="1"/>
    <col min="15878" max="15878" width="14" style="13" bestFit="1" customWidth="1"/>
    <col min="15879" max="15880" width="16.7109375" style="13" bestFit="1" customWidth="1"/>
    <col min="15881" max="15881" width="6" style="13" bestFit="1" customWidth="1"/>
    <col min="15882" max="15882" width="9.140625" style="13"/>
    <col min="15883" max="15883" width="6" style="13" bestFit="1" customWidth="1"/>
    <col min="15884" max="15884" width="25.28515625" style="13" customWidth="1"/>
    <col min="15885" max="15885" width="16.42578125" style="13" bestFit="1" customWidth="1"/>
    <col min="15886" max="15886" width="13.85546875" style="13" bestFit="1" customWidth="1"/>
    <col min="15887" max="15887" width="19.7109375" style="13" bestFit="1" customWidth="1"/>
    <col min="15888" max="15888" width="13.85546875" style="13" bestFit="1" customWidth="1"/>
    <col min="15889" max="15890" width="16.42578125" style="13" bestFit="1" customWidth="1"/>
    <col min="15891" max="16128" width="9.140625" style="13"/>
    <col min="16129" max="16129" width="6" style="13" customWidth="1"/>
    <col min="16130" max="16130" width="44.7109375" style="13" customWidth="1"/>
    <col min="16131" max="16131" width="16.7109375" style="13" bestFit="1" customWidth="1"/>
    <col min="16132" max="16132" width="16" style="13" bestFit="1" customWidth="1"/>
    <col min="16133" max="16133" width="21" style="13" bestFit="1" customWidth="1"/>
    <col min="16134" max="16134" width="14" style="13" bestFit="1" customWidth="1"/>
    <col min="16135" max="16136" width="16.7109375" style="13" bestFit="1" customWidth="1"/>
    <col min="16137" max="16137" width="6" style="13" bestFit="1" customWidth="1"/>
    <col min="16138" max="16138" width="9.140625" style="13"/>
    <col min="16139" max="16139" width="6" style="13" bestFit="1" customWidth="1"/>
    <col min="16140" max="16140" width="25.28515625" style="13" customWidth="1"/>
    <col min="16141" max="16141" width="16.42578125" style="13" bestFit="1" customWidth="1"/>
    <col min="16142" max="16142" width="13.85546875" style="13" bestFit="1" customWidth="1"/>
    <col min="16143" max="16143" width="19.7109375" style="13" bestFit="1" customWidth="1"/>
    <col min="16144" max="16144" width="13.85546875" style="13" bestFit="1" customWidth="1"/>
    <col min="16145" max="16146" width="16.42578125" style="13" bestFit="1" customWidth="1"/>
    <col min="16147" max="16384" width="9.140625" style="13"/>
  </cols>
  <sheetData>
    <row r="1" spans="1:19" ht="15.75" x14ac:dyDescent="0.25">
      <c r="A1" s="356" t="s">
        <v>272</v>
      </c>
      <c r="B1" s="356"/>
      <c r="C1" s="356"/>
      <c r="D1" s="356"/>
      <c r="E1" s="356"/>
      <c r="F1" s="356"/>
      <c r="G1" s="356"/>
      <c r="H1" s="356"/>
      <c r="I1" s="356"/>
      <c r="J1" s="1"/>
      <c r="K1" s="1"/>
      <c r="L1" s="1"/>
      <c r="M1" s="1"/>
    </row>
    <row r="2" spans="1:19" ht="15.75" x14ac:dyDescent="0.25">
      <c r="A2" s="356" t="s">
        <v>273</v>
      </c>
      <c r="B2" s="356"/>
      <c r="C2" s="356"/>
      <c r="D2" s="356"/>
      <c r="E2" s="356"/>
      <c r="F2" s="356"/>
      <c r="G2" s="356"/>
      <c r="H2" s="356"/>
      <c r="I2" s="356"/>
      <c r="J2" s="1"/>
      <c r="K2" s="1"/>
      <c r="L2" s="1"/>
      <c r="M2" s="1"/>
    </row>
    <row r="3" spans="1:19" ht="16.5" thickBot="1" x14ac:dyDescent="0.3">
      <c r="A3" s="356" t="s">
        <v>274</v>
      </c>
      <c r="B3" s="356"/>
      <c r="C3" s="356"/>
      <c r="D3" s="356"/>
      <c r="E3" s="356"/>
      <c r="F3" s="356"/>
      <c r="G3" s="356"/>
      <c r="H3" s="356"/>
      <c r="I3" s="356"/>
      <c r="J3" s="1"/>
      <c r="K3" s="1"/>
      <c r="L3" s="1"/>
      <c r="M3" s="1"/>
    </row>
    <row r="4" spans="1:19" ht="16.5" thickBot="1" x14ac:dyDescent="0.3">
      <c r="A4" s="124"/>
      <c r="B4" s="187"/>
      <c r="C4" s="358" t="s">
        <v>242</v>
      </c>
      <c r="D4" s="358"/>
      <c r="E4" s="358"/>
      <c r="F4" s="358"/>
      <c r="G4" s="187"/>
      <c r="H4" s="187"/>
      <c r="I4" s="125"/>
      <c r="J4" s="1"/>
      <c r="K4" s="1"/>
      <c r="L4" s="1"/>
      <c r="M4" s="1"/>
    </row>
    <row r="5" spans="1:19" ht="15.75" x14ac:dyDescent="0.25">
      <c r="A5" s="355" t="s">
        <v>39</v>
      </c>
      <c r="B5" s="359"/>
      <c r="C5" s="359"/>
      <c r="D5" s="359"/>
      <c r="E5" s="359"/>
      <c r="F5" s="359"/>
      <c r="G5" s="359"/>
      <c r="H5" s="359"/>
      <c r="I5" s="357"/>
      <c r="J5" s="1"/>
      <c r="K5" s="140"/>
      <c r="L5" s="141"/>
      <c r="M5" s="358" t="s">
        <v>243</v>
      </c>
      <c r="N5" s="358"/>
      <c r="O5" s="358"/>
      <c r="P5" s="358"/>
      <c r="Q5" s="142"/>
      <c r="R5" s="142"/>
      <c r="S5" s="143"/>
    </row>
    <row r="6" spans="1:19" ht="18.75" x14ac:dyDescent="0.25">
      <c r="A6" s="185"/>
      <c r="B6" s="75"/>
      <c r="C6" s="75"/>
      <c r="D6" s="75" t="s">
        <v>248</v>
      </c>
      <c r="E6" s="75"/>
      <c r="F6" s="75"/>
      <c r="G6" s="75"/>
      <c r="H6" s="75"/>
      <c r="I6" s="186"/>
      <c r="J6" s="7"/>
      <c r="K6" s="355" t="s">
        <v>249</v>
      </c>
      <c r="L6" s="356"/>
      <c r="M6" s="356"/>
      <c r="N6" s="356"/>
      <c r="O6" s="356"/>
      <c r="P6" s="356"/>
      <c r="Q6" s="356"/>
      <c r="R6" s="356"/>
      <c r="S6" s="357"/>
    </row>
    <row r="7" spans="1:19" ht="16.5" thickBot="1" x14ac:dyDescent="0.3">
      <c r="A7" s="185"/>
      <c r="B7" s="75"/>
      <c r="C7" s="75"/>
      <c r="D7" s="75"/>
      <c r="E7" s="75"/>
      <c r="F7" s="75"/>
      <c r="G7" s="75"/>
      <c r="H7" s="75"/>
      <c r="I7" s="186"/>
      <c r="J7" s="7"/>
      <c r="K7" s="185"/>
      <c r="L7" s="184"/>
      <c r="M7" s="184"/>
      <c r="N7" s="184"/>
      <c r="O7" s="184"/>
      <c r="P7" s="184"/>
      <c r="Q7" s="184"/>
      <c r="R7" s="184"/>
      <c r="S7" s="186"/>
    </row>
    <row r="8" spans="1:19" ht="16.5" thickBot="1" x14ac:dyDescent="0.3">
      <c r="A8" s="144"/>
      <c r="B8" s="75"/>
      <c r="C8" s="75"/>
      <c r="D8" s="75"/>
      <c r="E8" s="2"/>
      <c r="F8" s="75"/>
      <c r="G8" s="124" t="s">
        <v>2</v>
      </c>
      <c r="H8" s="125" t="s">
        <v>0</v>
      </c>
      <c r="I8" s="186"/>
      <c r="J8" s="184"/>
      <c r="K8" s="144"/>
      <c r="L8" s="184"/>
      <c r="M8" s="184"/>
      <c r="N8" s="184"/>
      <c r="O8" s="145"/>
      <c r="P8" s="184"/>
      <c r="Q8" s="124" t="s">
        <v>2</v>
      </c>
      <c r="R8" s="125" t="s">
        <v>0</v>
      </c>
      <c r="S8" s="186"/>
    </row>
    <row r="9" spans="1:19" ht="15.75" x14ac:dyDescent="0.25">
      <c r="A9" s="144"/>
      <c r="B9" s="2"/>
      <c r="C9" s="126" t="s">
        <v>20</v>
      </c>
      <c r="D9" s="127"/>
      <c r="E9" s="126" t="s">
        <v>28</v>
      </c>
      <c r="F9" s="141"/>
      <c r="G9" s="128" t="s">
        <v>0</v>
      </c>
      <c r="H9" s="129" t="s">
        <v>35</v>
      </c>
      <c r="I9" s="146"/>
      <c r="J9" s="10"/>
      <c r="K9" s="144"/>
      <c r="L9" s="145"/>
      <c r="M9" s="126" t="s">
        <v>20</v>
      </c>
      <c r="N9" s="127"/>
      <c r="O9" s="126" t="s">
        <v>28</v>
      </c>
      <c r="P9" s="141"/>
      <c r="Q9" s="128" t="s">
        <v>0</v>
      </c>
      <c r="R9" s="129" t="s">
        <v>35</v>
      </c>
      <c r="S9" s="146"/>
    </row>
    <row r="10" spans="1:19" ht="15.75" x14ac:dyDescent="0.25">
      <c r="A10" s="144"/>
      <c r="B10" s="2"/>
      <c r="C10" s="128" t="s">
        <v>35</v>
      </c>
      <c r="D10" s="129" t="s">
        <v>5</v>
      </c>
      <c r="E10" s="128" t="s">
        <v>35</v>
      </c>
      <c r="F10" s="2" t="s">
        <v>5</v>
      </c>
      <c r="G10" s="128" t="s">
        <v>35</v>
      </c>
      <c r="H10" s="129" t="s">
        <v>6</v>
      </c>
      <c r="I10" s="146"/>
      <c r="J10" s="10"/>
      <c r="K10" s="144"/>
      <c r="L10" s="145"/>
      <c r="M10" s="128" t="s">
        <v>35</v>
      </c>
      <c r="N10" s="129" t="s">
        <v>5</v>
      </c>
      <c r="O10" s="128" t="s">
        <v>35</v>
      </c>
      <c r="P10" s="2" t="s">
        <v>5</v>
      </c>
      <c r="Q10" s="128" t="s">
        <v>35</v>
      </c>
      <c r="R10" s="129" t="s">
        <v>6</v>
      </c>
      <c r="S10" s="146"/>
    </row>
    <row r="11" spans="1:19" ht="15.75" x14ac:dyDescent="0.25">
      <c r="A11" s="144"/>
      <c r="B11" s="188"/>
      <c r="C11" s="128" t="s">
        <v>4</v>
      </c>
      <c r="D11" s="129" t="s">
        <v>6</v>
      </c>
      <c r="E11" s="128" t="s">
        <v>4</v>
      </c>
      <c r="F11" s="2" t="s">
        <v>6</v>
      </c>
      <c r="G11" s="128" t="s">
        <v>4</v>
      </c>
      <c r="H11" s="129" t="s">
        <v>38</v>
      </c>
      <c r="I11" s="129"/>
      <c r="J11" s="2"/>
      <c r="K11" s="144"/>
      <c r="M11" s="128" t="s">
        <v>4</v>
      </c>
      <c r="N11" s="129" t="s">
        <v>6</v>
      </c>
      <c r="O11" s="128" t="s">
        <v>4</v>
      </c>
      <c r="P11" s="2" t="s">
        <v>6</v>
      </c>
      <c r="Q11" s="128" t="s">
        <v>4</v>
      </c>
      <c r="R11" s="129" t="s">
        <v>38</v>
      </c>
      <c r="S11" s="129"/>
    </row>
    <row r="12" spans="1:19" ht="15.75" x14ac:dyDescent="0.25">
      <c r="A12" s="130" t="s">
        <v>7</v>
      </c>
      <c r="B12" s="2" t="s">
        <v>11</v>
      </c>
      <c r="C12" s="131" t="s">
        <v>9</v>
      </c>
      <c r="D12" s="132" t="s">
        <v>8</v>
      </c>
      <c r="E12" s="131" t="s">
        <v>9</v>
      </c>
      <c r="F12" s="14" t="s">
        <v>8</v>
      </c>
      <c r="G12" s="131" t="s">
        <v>9</v>
      </c>
      <c r="H12" s="129" t="s">
        <v>8</v>
      </c>
      <c r="I12" s="132" t="s">
        <v>7</v>
      </c>
      <c r="J12" s="10"/>
      <c r="K12" s="130" t="s">
        <v>7</v>
      </c>
      <c r="L12" s="145" t="s">
        <v>11</v>
      </c>
      <c r="M12" s="131" t="s">
        <v>9</v>
      </c>
      <c r="N12" s="132" t="s">
        <v>8</v>
      </c>
      <c r="O12" s="131" t="s">
        <v>9</v>
      </c>
      <c r="P12" s="14" t="s">
        <v>8</v>
      </c>
      <c r="Q12" s="131" t="s">
        <v>9</v>
      </c>
      <c r="R12" s="129" t="s">
        <v>8</v>
      </c>
      <c r="S12" s="132" t="s">
        <v>7</v>
      </c>
    </row>
    <row r="13" spans="1:19" ht="16.5" thickBot="1" x14ac:dyDescent="0.3">
      <c r="A13" s="133" t="s">
        <v>10</v>
      </c>
      <c r="B13" s="3" t="s">
        <v>12</v>
      </c>
      <c r="C13" s="147" t="s">
        <v>13</v>
      </c>
      <c r="D13" s="134" t="s">
        <v>14</v>
      </c>
      <c r="E13" s="147" t="s">
        <v>15</v>
      </c>
      <c r="F13" s="3" t="s">
        <v>16</v>
      </c>
      <c r="G13" s="147" t="s">
        <v>17</v>
      </c>
      <c r="H13" s="134" t="s">
        <v>18</v>
      </c>
      <c r="I13" s="135" t="s">
        <v>10</v>
      </c>
      <c r="J13" s="10"/>
      <c r="K13" s="133" t="s">
        <v>10</v>
      </c>
      <c r="L13" s="3" t="s">
        <v>12</v>
      </c>
      <c r="M13" s="147" t="s">
        <v>13</v>
      </c>
      <c r="N13" s="134" t="s">
        <v>14</v>
      </c>
      <c r="O13" s="147" t="s">
        <v>15</v>
      </c>
      <c r="P13" s="3" t="s">
        <v>16</v>
      </c>
      <c r="Q13" s="147" t="s">
        <v>17</v>
      </c>
      <c r="R13" s="134" t="s">
        <v>18</v>
      </c>
      <c r="S13" s="135" t="s">
        <v>10</v>
      </c>
    </row>
    <row r="14" spans="1:19" ht="15.75" x14ac:dyDescent="0.25">
      <c r="A14" s="148"/>
      <c r="B14" s="149"/>
      <c r="C14" s="126"/>
      <c r="D14" s="127"/>
      <c r="E14" s="126"/>
      <c r="F14" s="149"/>
      <c r="G14" s="126"/>
      <c r="H14" s="127"/>
      <c r="I14" s="150"/>
      <c r="J14" s="10"/>
      <c r="K14" s="148"/>
      <c r="L14" s="149"/>
      <c r="M14" s="126"/>
      <c r="N14" s="127"/>
      <c r="O14" s="126"/>
      <c r="P14" s="149"/>
      <c r="Q14" s="126"/>
      <c r="R14" s="127"/>
      <c r="S14" s="150"/>
    </row>
    <row r="15" spans="1:19" ht="15.75" x14ac:dyDescent="0.25">
      <c r="A15" s="130">
        <v>1</v>
      </c>
      <c r="B15" s="189" t="s">
        <v>183</v>
      </c>
      <c r="C15" s="190">
        <v>69686.841586666662</v>
      </c>
      <c r="D15" s="137">
        <f>C15/$C$27</f>
        <v>0.65806744429663433</v>
      </c>
      <c r="E15" s="136">
        <v>308861.75434485229</v>
      </c>
      <c r="F15" s="191">
        <f>E15/$E$27</f>
        <v>0.41565866430461212</v>
      </c>
      <c r="G15" s="136">
        <f>C15+E15</f>
        <v>378548.59593151894</v>
      </c>
      <c r="H15" s="137">
        <f>G15/$G$27</f>
        <v>0.4458957861286873</v>
      </c>
      <c r="I15" s="132">
        <v>1</v>
      </c>
      <c r="J15" s="10"/>
      <c r="K15" s="130">
        <v>1</v>
      </c>
      <c r="L15" s="189" t="s">
        <v>183</v>
      </c>
      <c r="M15" s="190">
        <v>176613</v>
      </c>
      <c r="N15" s="137">
        <f>M15/$M$27</f>
        <v>0.66652703085196718</v>
      </c>
      <c r="O15" s="136">
        <v>186613</v>
      </c>
      <c r="P15" s="191">
        <f>O15/$O$27</f>
        <v>0.41535735827974796</v>
      </c>
      <c r="Q15" s="136">
        <f>M15+O15</f>
        <v>363226</v>
      </c>
      <c r="R15" s="137">
        <f>Q15/$Q$27</f>
        <v>0.50853613120189067</v>
      </c>
      <c r="S15" s="132">
        <v>1</v>
      </c>
    </row>
    <row r="16" spans="1:19" ht="15.75" x14ac:dyDescent="0.25">
      <c r="A16" s="130">
        <f>A15+1</f>
        <v>2</v>
      </c>
      <c r="B16" s="189" t="s">
        <v>246</v>
      </c>
      <c r="C16" s="139">
        <f>C15/G15</f>
        <v>0.18408955239996005</v>
      </c>
      <c r="D16" s="137"/>
      <c r="E16" s="139">
        <f>E15/G15</f>
        <v>0.81591044760003995</v>
      </c>
      <c r="F16" s="192"/>
      <c r="G16" s="139">
        <f>G15/G15</f>
        <v>1</v>
      </c>
      <c r="H16" s="138"/>
      <c r="I16" s="132">
        <f>I15+1</f>
        <v>2</v>
      </c>
      <c r="J16" s="10"/>
      <c r="K16" s="130">
        <f>K15+1</f>
        <v>2</v>
      </c>
      <c r="L16" s="189" t="s">
        <v>246</v>
      </c>
      <c r="M16" s="139">
        <f>M15/Q15</f>
        <v>0.48623446559442329</v>
      </c>
      <c r="N16" s="137"/>
      <c r="O16" s="139">
        <f>O15/Q15</f>
        <v>0.51376553440557671</v>
      </c>
      <c r="P16" s="192"/>
      <c r="Q16" s="139">
        <f>Q15/Q15</f>
        <v>1</v>
      </c>
      <c r="R16" s="138"/>
      <c r="S16" s="132">
        <f>S15+1</f>
        <v>2</v>
      </c>
    </row>
    <row r="17" spans="1:19" ht="15.75" x14ac:dyDescent="0.25">
      <c r="A17" s="130">
        <f t="shared" ref="A17:A27" si="0">A16+1</f>
        <v>3</v>
      </c>
      <c r="B17" s="189" t="s">
        <v>189</v>
      </c>
      <c r="C17" s="190">
        <v>13133.365069237292</v>
      </c>
      <c r="D17" s="137">
        <f>C17/$C$27</f>
        <v>0.12402111775117802</v>
      </c>
      <c r="E17" s="136">
        <v>94513.065233965739</v>
      </c>
      <c r="F17" s="191">
        <f>E17/$E$27</f>
        <v>0.12719339284274717</v>
      </c>
      <c r="G17" s="136">
        <f>C17+E17</f>
        <v>107646.43030320303</v>
      </c>
      <c r="H17" s="137">
        <f>G17/$G$27</f>
        <v>0.1267976956720159</v>
      </c>
      <c r="I17" s="132">
        <f t="shared" ref="I17:I27" si="1">I16+1</f>
        <v>3</v>
      </c>
      <c r="J17" s="10"/>
      <c r="K17" s="130">
        <f t="shared" ref="K17:K27" si="2">K16+1</f>
        <v>3</v>
      </c>
      <c r="L17" s="189" t="s">
        <v>189</v>
      </c>
      <c r="M17" s="190">
        <v>44479</v>
      </c>
      <c r="N17" s="137">
        <f>M17/$M$27</f>
        <v>0.16786111897348807</v>
      </c>
      <c r="O17" s="136">
        <v>57125</v>
      </c>
      <c r="P17" s="191">
        <f>O17/$O$27</f>
        <v>0.12714703204884226</v>
      </c>
      <c r="Q17" s="136">
        <f>M17+O17</f>
        <v>101604</v>
      </c>
      <c r="R17" s="137">
        <f>Q17/$Q$27</f>
        <v>0.14225111934343052</v>
      </c>
      <c r="S17" s="132">
        <f t="shared" ref="S17:S27" si="3">S16+1</f>
        <v>3</v>
      </c>
    </row>
    <row r="18" spans="1:19" ht="15.75" x14ac:dyDescent="0.25">
      <c r="A18" s="130">
        <f t="shared" si="0"/>
        <v>4</v>
      </c>
      <c r="B18" s="189" t="s">
        <v>246</v>
      </c>
      <c r="C18" s="139">
        <f>C17/G17</f>
        <v>0.12200465015184538</v>
      </c>
      <c r="D18" s="137"/>
      <c r="E18" s="139">
        <f>E17/G17</f>
        <v>0.87799534984815464</v>
      </c>
      <c r="F18" s="192"/>
      <c r="G18" s="139">
        <f>G17/G17</f>
        <v>1</v>
      </c>
      <c r="H18" s="138"/>
      <c r="I18" s="132">
        <f t="shared" si="1"/>
        <v>4</v>
      </c>
      <c r="J18" s="10"/>
      <c r="K18" s="130">
        <f t="shared" si="2"/>
        <v>4</v>
      </c>
      <c r="L18" s="189" t="s">
        <v>246</v>
      </c>
      <c r="M18" s="139">
        <f>M17/Q17</f>
        <v>0.43776819810243689</v>
      </c>
      <c r="N18" s="137"/>
      <c r="O18" s="139">
        <f>O17/Q17</f>
        <v>0.56223180189756305</v>
      </c>
      <c r="P18" s="192"/>
      <c r="Q18" s="139">
        <f>Q17/Q17</f>
        <v>1</v>
      </c>
      <c r="R18" s="138"/>
      <c r="S18" s="132">
        <f t="shared" si="3"/>
        <v>4</v>
      </c>
    </row>
    <row r="19" spans="1:19" ht="15.75" x14ac:dyDescent="0.25">
      <c r="A19" s="130">
        <f t="shared" si="0"/>
        <v>5</v>
      </c>
      <c r="B19" s="8" t="s">
        <v>199</v>
      </c>
      <c r="C19" s="190">
        <v>20064.108274639762</v>
      </c>
      <c r="D19" s="137">
        <f>C19/$C$27</f>
        <v>0.18946957781064661</v>
      </c>
      <c r="E19" s="136">
        <v>314108.32265068719</v>
      </c>
      <c r="F19" s="191">
        <f>E19/$E$27</f>
        <v>0.42271936878973704</v>
      </c>
      <c r="G19" s="136">
        <f>C19+E19</f>
        <v>334172.43092532695</v>
      </c>
      <c r="H19" s="137">
        <f>G19/$G$27</f>
        <v>0.39362470338402455</v>
      </c>
      <c r="I19" s="132">
        <f t="shared" si="1"/>
        <v>5</v>
      </c>
      <c r="J19" s="10"/>
      <c r="K19" s="130">
        <f t="shared" si="2"/>
        <v>5</v>
      </c>
      <c r="L19" s="8" t="s">
        <v>199</v>
      </c>
      <c r="M19" s="190">
        <v>38071</v>
      </c>
      <c r="N19" s="137">
        <f>M19/$M$27</f>
        <v>0.14367770544390981</v>
      </c>
      <c r="O19" s="136">
        <v>190054</v>
      </c>
      <c r="P19" s="191">
        <f>O19/$O$27</f>
        <v>0.42301622807896139</v>
      </c>
      <c r="Q19" s="136">
        <f>M19+O19</f>
        <v>228125</v>
      </c>
      <c r="R19" s="137">
        <f>Q19/$Q$27</f>
        <v>0.31938739223081858</v>
      </c>
      <c r="S19" s="132">
        <f t="shared" si="3"/>
        <v>5</v>
      </c>
    </row>
    <row r="20" spans="1:19" ht="15.75" x14ac:dyDescent="0.25">
      <c r="A20" s="130">
        <f t="shared" si="0"/>
        <v>6</v>
      </c>
      <c r="B20" s="189" t="s">
        <v>246</v>
      </c>
      <c r="C20" s="139">
        <f>C19/G19</f>
        <v>6.0041183586216365E-2</v>
      </c>
      <c r="D20" s="137"/>
      <c r="E20" s="139">
        <f>E19/G19</f>
        <v>0.93995881641378365</v>
      </c>
      <c r="F20" s="192"/>
      <c r="G20" s="139">
        <f>G19/G19</f>
        <v>1</v>
      </c>
      <c r="H20" s="138"/>
      <c r="I20" s="132">
        <f t="shared" si="1"/>
        <v>6</v>
      </c>
      <c r="J20" s="10"/>
      <c r="K20" s="130">
        <f t="shared" si="2"/>
        <v>6</v>
      </c>
      <c r="L20" s="189" t="s">
        <v>246</v>
      </c>
      <c r="M20" s="139">
        <f>M19/Q19</f>
        <v>0.16688657534246576</v>
      </c>
      <c r="N20" s="137"/>
      <c r="O20" s="139">
        <f>O19/Q19</f>
        <v>0.83311342465753424</v>
      </c>
      <c r="P20" s="192"/>
      <c r="Q20" s="139">
        <f>Q19/Q19</f>
        <v>1</v>
      </c>
      <c r="R20" s="138"/>
      <c r="S20" s="132">
        <f t="shared" si="3"/>
        <v>6</v>
      </c>
    </row>
    <row r="21" spans="1:19" ht="15.75" x14ac:dyDescent="0.25">
      <c r="A21" s="130">
        <f t="shared" si="0"/>
        <v>7</v>
      </c>
      <c r="B21" s="189" t="s">
        <v>202</v>
      </c>
      <c r="C21" s="190">
        <v>810.20763910833398</v>
      </c>
      <c r="D21" s="137">
        <f>C21/$C$27</f>
        <v>7.6509604722800936E-3</v>
      </c>
      <c r="E21" s="136">
        <v>10157.74187464573</v>
      </c>
      <c r="F21" s="191">
        <f>E21/$E$27</f>
        <v>1.3670042860833218E-2</v>
      </c>
      <c r="G21" s="136">
        <f>C21+E21</f>
        <v>10967.949513754063</v>
      </c>
      <c r="H21" s="137">
        <f>G21/$G$27</f>
        <v>1.2919246097375157E-2</v>
      </c>
      <c r="I21" s="132">
        <f t="shared" si="1"/>
        <v>7</v>
      </c>
      <c r="J21" s="10"/>
      <c r="K21" s="130">
        <f t="shared" si="2"/>
        <v>7</v>
      </c>
      <c r="L21" s="189" t="s">
        <v>202</v>
      </c>
      <c r="M21" s="190">
        <v>2374</v>
      </c>
      <c r="N21" s="137">
        <f>M21/$M$27</f>
        <v>8.9593357863949428E-3</v>
      </c>
      <c r="O21" s="136">
        <v>6155</v>
      </c>
      <c r="P21" s="191">
        <f>O21/$O$27</f>
        <v>1.3699605816378541E-2</v>
      </c>
      <c r="Q21" s="136">
        <f>M21+O21</f>
        <v>8529</v>
      </c>
      <c r="R21" s="137">
        <f>Q21/$Q$27</f>
        <v>1.1941063313256554E-2</v>
      </c>
      <c r="S21" s="132">
        <f t="shared" si="3"/>
        <v>7</v>
      </c>
    </row>
    <row r="22" spans="1:19" ht="15.75" x14ac:dyDescent="0.25">
      <c r="A22" s="130">
        <f t="shared" si="0"/>
        <v>8</v>
      </c>
      <c r="B22" s="189" t="s">
        <v>246</v>
      </c>
      <c r="C22" s="139">
        <f>C21/G21</f>
        <v>7.3870474886150297E-2</v>
      </c>
      <c r="D22" s="137"/>
      <c r="E22" s="139">
        <f>E21/G21</f>
        <v>0.92612952511384972</v>
      </c>
      <c r="F22" s="192"/>
      <c r="G22" s="139">
        <f>G21/G21</f>
        <v>1</v>
      </c>
      <c r="H22" s="137"/>
      <c r="I22" s="132">
        <f t="shared" si="1"/>
        <v>8</v>
      </c>
      <c r="J22" s="10"/>
      <c r="K22" s="130">
        <f t="shared" si="2"/>
        <v>8</v>
      </c>
      <c r="L22" s="189" t="s">
        <v>246</v>
      </c>
      <c r="M22" s="139">
        <f>M21/Q21</f>
        <v>0.27834447180208699</v>
      </c>
      <c r="N22" s="137"/>
      <c r="O22" s="139">
        <f>O21/Q21</f>
        <v>0.72165552819791301</v>
      </c>
      <c r="P22" s="192"/>
      <c r="Q22" s="139">
        <f>Q21/Q21</f>
        <v>1</v>
      </c>
      <c r="R22" s="137"/>
      <c r="S22" s="132">
        <f t="shared" si="3"/>
        <v>8</v>
      </c>
    </row>
    <row r="23" spans="1:19" ht="15.75" x14ac:dyDescent="0.25">
      <c r="A23" s="130">
        <f t="shared" si="0"/>
        <v>9</v>
      </c>
      <c r="B23" s="189" t="s">
        <v>207</v>
      </c>
      <c r="C23" s="190">
        <v>196.40424166666668</v>
      </c>
      <c r="D23" s="137">
        <f>C23/$C$27</f>
        <v>1.8546864001844942E-3</v>
      </c>
      <c r="E23" s="136">
        <v>1566.2389936169454</v>
      </c>
      <c r="F23" s="191">
        <f>E23/$E$27</f>
        <v>2.107806482707916E-3</v>
      </c>
      <c r="G23" s="136">
        <f>C23+E23</f>
        <v>1762.6432352836121</v>
      </c>
      <c r="H23" s="137">
        <f>G23/$G$27</f>
        <v>2.076233274956808E-3</v>
      </c>
      <c r="I23" s="132">
        <f t="shared" si="1"/>
        <v>9</v>
      </c>
      <c r="J23" s="10"/>
      <c r="K23" s="130">
        <f t="shared" si="2"/>
        <v>9</v>
      </c>
      <c r="L23" s="189" t="s">
        <v>207</v>
      </c>
      <c r="M23" s="190">
        <v>1230</v>
      </c>
      <c r="N23" s="137">
        <f>M23/$M$27</f>
        <v>4.6419473535239172E-3</v>
      </c>
      <c r="O23" s="136">
        <v>960</v>
      </c>
      <c r="P23" s="191">
        <f>O23/$O$27</f>
        <v>2.136737869004614E-3</v>
      </c>
      <c r="Q23" s="136">
        <f>M23+O23</f>
        <v>2190</v>
      </c>
      <c r="R23" s="137">
        <f>Q23/$Q$27</f>
        <v>3.066118965415858E-3</v>
      </c>
      <c r="S23" s="132">
        <f t="shared" si="3"/>
        <v>9</v>
      </c>
    </row>
    <row r="24" spans="1:19" ht="15.75" x14ac:dyDescent="0.25">
      <c r="A24" s="130">
        <f t="shared" si="0"/>
        <v>10</v>
      </c>
      <c r="B24" s="189" t="s">
        <v>246</v>
      </c>
      <c r="C24" s="139">
        <f>C23/G23</f>
        <v>0.11142597533928351</v>
      </c>
      <c r="D24" s="137"/>
      <c r="E24" s="139">
        <f>E23/G23</f>
        <v>0.88857402466071655</v>
      </c>
      <c r="F24" s="192"/>
      <c r="G24" s="139">
        <f>G23/G23</f>
        <v>1</v>
      </c>
      <c r="H24" s="137"/>
      <c r="I24" s="132">
        <f t="shared" si="1"/>
        <v>10</v>
      </c>
      <c r="J24" s="10"/>
      <c r="K24" s="130">
        <f t="shared" si="2"/>
        <v>10</v>
      </c>
      <c r="L24" s="189" t="s">
        <v>246</v>
      </c>
      <c r="M24" s="139">
        <f>M23/Q23</f>
        <v>0.56164383561643838</v>
      </c>
      <c r="N24" s="137"/>
      <c r="O24" s="139">
        <f>O23/Q23</f>
        <v>0.43835616438356162</v>
      </c>
      <c r="P24" s="192"/>
      <c r="Q24" s="139">
        <f>Q23/Q23</f>
        <v>1</v>
      </c>
      <c r="R24" s="137"/>
      <c r="S24" s="132">
        <f t="shared" si="3"/>
        <v>10</v>
      </c>
    </row>
    <row r="25" spans="1:19" ht="15.75" x14ac:dyDescent="0.25">
      <c r="A25" s="130">
        <f t="shared" si="0"/>
        <v>11</v>
      </c>
      <c r="B25" s="189" t="s">
        <v>210</v>
      </c>
      <c r="C25" s="190">
        <v>2004.5951834752934</v>
      </c>
      <c r="D25" s="137">
        <f>C25/$C$27</f>
        <v>1.8929812274507313E-2</v>
      </c>
      <c r="E25" s="136">
        <v>13853.394262231084</v>
      </c>
      <c r="F25" s="191">
        <f>E25/$E$27</f>
        <v>1.8643562286753301E-2</v>
      </c>
      <c r="G25" s="136">
        <f>C25+E25</f>
        <v>15857.989445706378</v>
      </c>
      <c r="H25" s="137">
        <f>G25/$G$27</f>
        <v>1.867926798912985E-2</v>
      </c>
      <c r="I25" s="132">
        <f t="shared" si="1"/>
        <v>11</v>
      </c>
      <c r="J25" s="10"/>
      <c r="K25" s="130">
        <f t="shared" si="2"/>
        <v>11</v>
      </c>
      <c r="L25" s="189" t="s">
        <v>210</v>
      </c>
      <c r="M25" s="190">
        <v>2208</v>
      </c>
      <c r="N25" s="137">
        <f>M25/$M$27</f>
        <v>8.3328615907161049E-3</v>
      </c>
      <c r="O25" s="136">
        <v>8375</v>
      </c>
      <c r="P25" s="191">
        <f>O25/$O$27</f>
        <v>1.8640812138451712E-2</v>
      </c>
      <c r="Q25" s="136">
        <f>M25+O25</f>
        <v>10583</v>
      </c>
      <c r="R25" s="137">
        <f>Q25/$Q$27</f>
        <v>1.4816774890865766E-2</v>
      </c>
      <c r="S25" s="132">
        <f t="shared" si="3"/>
        <v>11</v>
      </c>
    </row>
    <row r="26" spans="1:19" ht="15.75" x14ac:dyDescent="0.25">
      <c r="A26" s="130">
        <f t="shared" si="0"/>
        <v>12</v>
      </c>
      <c r="B26" s="189" t="s">
        <v>246</v>
      </c>
      <c r="C26" s="139">
        <f>C25/G25</f>
        <v>0.12640916367982868</v>
      </c>
      <c r="D26" s="137"/>
      <c r="E26" s="139">
        <f>E25/G25</f>
        <v>0.87359083632017132</v>
      </c>
      <c r="F26" s="192"/>
      <c r="G26" s="139">
        <f>G25/G25</f>
        <v>1</v>
      </c>
      <c r="H26" s="137"/>
      <c r="I26" s="153">
        <f t="shared" si="1"/>
        <v>12</v>
      </c>
      <c r="J26" s="10"/>
      <c r="K26" s="130">
        <f t="shared" si="2"/>
        <v>12</v>
      </c>
      <c r="L26" s="189" t="s">
        <v>246</v>
      </c>
      <c r="M26" s="139">
        <f>M25/Q25</f>
        <v>0.20863649248795238</v>
      </c>
      <c r="N26" s="137"/>
      <c r="O26" s="139">
        <f>O25/Q25</f>
        <v>0.79136350751204765</v>
      </c>
      <c r="P26" s="192"/>
      <c r="Q26" s="139">
        <f>Q25/Q25</f>
        <v>1</v>
      </c>
      <c r="R26" s="137"/>
      <c r="S26" s="132">
        <f t="shared" si="3"/>
        <v>12</v>
      </c>
    </row>
    <row r="27" spans="1:19" ht="15.75" x14ac:dyDescent="0.25">
      <c r="A27" s="130">
        <f t="shared" si="0"/>
        <v>13</v>
      </c>
      <c r="B27" s="189" t="s">
        <v>78</v>
      </c>
      <c r="C27" s="190">
        <f t="shared" ref="C27:H27" si="4">SUM(C15:C26)</f>
        <v>105896.19983579405</v>
      </c>
      <c r="D27" s="137">
        <f t="shared" si="4"/>
        <v>0.99999359900543083</v>
      </c>
      <c r="E27" s="136">
        <f t="shared" si="4"/>
        <v>743065.83951899875</v>
      </c>
      <c r="F27" s="191">
        <f t="shared" si="4"/>
        <v>0.99999283756739077</v>
      </c>
      <c r="G27" s="136">
        <f t="shared" si="4"/>
        <v>848962.03935479291</v>
      </c>
      <c r="H27" s="137">
        <f t="shared" si="4"/>
        <v>0.99999293254618959</v>
      </c>
      <c r="I27" s="132">
        <f t="shared" si="1"/>
        <v>13</v>
      </c>
      <c r="J27" s="10"/>
      <c r="K27" s="130">
        <f t="shared" si="2"/>
        <v>13</v>
      </c>
      <c r="L27" s="189" t="s">
        <v>78</v>
      </c>
      <c r="M27" s="190">
        <v>264975</v>
      </c>
      <c r="N27" s="137">
        <v>1</v>
      </c>
      <c r="O27" s="136">
        <v>449283</v>
      </c>
      <c r="P27" s="191">
        <v>1</v>
      </c>
      <c r="Q27" s="136">
        <f>M27+O27</f>
        <v>714258</v>
      </c>
      <c r="R27" s="137">
        <v>1</v>
      </c>
      <c r="S27" s="132">
        <f t="shared" si="3"/>
        <v>13</v>
      </c>
    </row>
    <row r="28" spans="1:19" ht="16.5" thickBot="1" x14ac:dyDescent="0.3">
      <c r="A28" s="133">
        <v>14</v>
      </c>
      <c r="B28" s="193" t="s">
        <v>246</v>
      </c>
      <c r="C28" s="154">
        <f>C27/G27</f>
        <v>0.12473608350766149</v>
      </c>
      <c r="D28" s="194"/>
      <c r="E28" s="154">
        <f>E27/G27</f>
        <v>0.87526391649233837</v>
      </c>
      <c r="F28" s="195"/>
      <c r="G28" s="154">
        <f>G27/G27</f>
        <v>1</v>
      </c>
      <c r="H28" s="155"/>
      <c r="I28" s="156">
        <v>14</v>
      </c>
      <c r="J28" s="10"/>
      <c r="K28" s="133">
        <v>14</v>
      </c>
      <c r="L28" s="193" t="s">
        <v>246</v>
      </c>
      <c r="M28" s="154">
        <f>M27/Q27</f>
        <v>0.37097939400048724</v>
      </c>
      <c r="N28" s="194"/>
      <c r="O28" s="154">
        <f>O27/Q27</f>
        <v>0.62902060599951282</v>
      </c>
      <c r="P28" s="195"/>
      <c r="Q28" s="154">
        <f>Q27/Q27</f>
        <v>1</v>
      </c>
      <c r="R28" s="155"/>
      <c r="S28" s="156">
        <v>14</v>
      </c>
    </row>
    <row r="29" spans="1:19" ht="15" x14ac:dyDescent="0.2">
      <c r="B29" s="196"/>
      <c r="C29" s="151"/>
      <c r="D29" s="151"/>
      <c r="E29" s="151"/>
      <c r="F29" s="197"/>
      <c r="G29" s="197"/>
      <c r="H29" s="196"/>
      <c r="I29" s="10"/>
      <c r="J29" s="10"/>
      <c r="K29" s="10"/>
      <c r="M29" s="151"/>
      <c r="N29" s="151"/>
      <c r="O29" s="151"/>
    </row>
    <row r="30" spans="1:19" ht="15.75" x14ac:dyDescent="0.25">
      <c r="A30" s="198" t="s">
        <v>29</v>
      </c>
      <c r="B30" s="199"/>
      <c r="F30" s="200"/>
      <c r="G30" s="152"/>
      <c r="H30" s="152"/>
      <c r="I30" s="152"/>
      <c r="J30" s="152"/>
      <c r="K30" s="152"/>
      <c r="L30" s="152"/>
    </row>
    <row r="31" spans="1:19" x14ac:dyDescent="0.2">
      <c r="A31" s="188"/>
      <c r="B31" s="201" t="s">
        <v>244</v>
      </c>
      <c r="C31" s="188"/>
      <c r="D31" s="188"/>
      <c r="E31" s="188"/>
      <c r="F31" s="188"/>
    </row>
    <row r="32" spans="1:19" x14ac:dyDescent="0.2">
      <c r="A32" s="188"/>
      <c r="B32" s="201" t="s">
        <v>245</v>
      </c>
      <c r="C32" s="188"/>
      <c r="D32" s="188"/>
      <c r="E32" s="188"/>
      <c r="F32" s="188"/>
    </row>
    <row r="33" spans="1:6" x14ac:dyDescent="0.2">
      <c r="A33" s="188"/>
      <c r="B33" s="201"/>
      <c r="C33" s="202"/>
      <c r="D33" s="202"/>
      <c r="E33" s="203"/>
      <c r="F33" s="188"/>
    </row>
    <row r="34" spans="1:6" x14ac:dyDescent="0.2">
      <c r="A34" s="198" t="s">
        <v>247</v>
      </c>
      <c r="B34" s="188"/>
      <c r="C34" s="204"/>
      <c r="D34" s="205"/>
      <c r="E34" s="206"/>
      <c r="F34" s="188"/>
    </row>
    <row r="35" spans="1:6" ht="14.25" x14ac:dyDescent="0.2">
      <c r="A35" s="188"/>
      <c r="B35" s="11" t="s">
        <v>250</v>
      </c>
      <c r="C35" s="205"/>
      <c r="D35" s="205"/>
      <c r="E35" s="206"/>
      <c r="F35" s="188"/>
    </row>
    <row r="36" spans="1:6" ht="14.25" x14ac:dyDescent="0.2">
      <c r="A36" s="188"/>
      <c r="B36" s="11" t="s">
        <v>251</v>
      </c>
      <c r="C36" s="205"/>
      <c r="D36" s="205"/>
      <c r="E36" s="206"/>
      <c r="F36" s="188"/>
    </row>
    <row r="37" spans="1:6" x14ac:dyDescent="0.2">
      <c r="A37" s="188"/>
      <c r="B37" s="188"/>
      <c r="C37" s="205"/>
      <c r="D37" s="205"/>
      <c r="E37" s="206"/>
      <c r="F37" s="188"/>
    </row>
    <row r="38" spans="1:6" x14ac:dyDescent="0.2">
      <c r="A38" s="188"/>
      <c r="B38" s="188"/>
      <c r="C38" s="205"/>
      <c r="D38" s="204"/>
      <c r="E38" s="206"/>
      <c r="F38" s="188"/>
    </row>
    <row r="39" spans="1:6" x14ac:dyDescent="0.2">
      <c r="A39" s="188"/>
      <c r="B39" s="188"/>
      <c r="C39" s="205"/>
      <c r="D39" s="205"/>
      <c r="E39" s="206"/>
      <c r="F39" s="188"/>
    </row>
    <row r="40" spans="1:6" x14ac:dyDescent="0.2">
      <c r="A40" s="188"/>
      <c r="B40" s="207"/>
      <c r="C40" s="208"/>
      <c r="D40" s="208"/>
      <c r="E40" s="206"/>
      <c r="F40" s="188"/>
    </row>
    <row r="41" spans="1:6" x14ac:dyDescent="0.2">
      <c r="A41" s="188"/>
      <c r="B41" s="209"/>
      <c r="C41" s="208"/>
      <c r="D41" s="208"/>
      <c r="E41" s="206"/>
      <c r="F41" s="188"/>
    </row>
    <row r="42" spans="1:6" x14ac:dyDescent="0.2">
      <c r="A42" s="188"/>
      <c r="B42" s="188"/>
      <c r="C42" s="204"/>
      <c r="D42" s="205"/>
      <c r="E42" s="206"/>
      <c r="F42" s="188"/>
    </row>
    <row r="43" spans="1:6" x14ac:dyDescent="0.2">
      <c r="A43" s="188"/>
      <c r="B43" s="188"/>
      <c r="C43" s="204"/>
      <c r="D43" s="205"/>
      <c r="E43" s="206"/>
      <c r="F43" s="188"/>
    </row>
    <row r="44" spans="1:6" x14ac:dyDescent="0.2">
      <c r="A44" s="188"/>
      <c r="B44" s="188"/>
      <c r="C44" s="204"/>
      <c r="D44" s="205"/>
      <c r="E44" s="206"/>
      <c r="F44" s="188"/>
    </row>
    <row r="45" spans="1:6" x14ac:dyDescent="0.2">
      <c r="A45" s="188"/>
      <c r="B45" s="188"/>
      <c r="C45" s="204"/>
      <c r="D45" s="205"/>
      <c r="E45" s="206"/>
      <c r="F45" s="188"/>
    </row>
    <row r="46" spans="1:6" x14ac:dyDescent="0.2">
      <c r="A46" s="188"/>
      <c r="B46" s="188"/>
      <c r="C46" s="204"/>
      <c r="D46" s="205"/>
      <c r="E46" s="206"/>
      <c r="F46" s="188"/>
    </row>
    <row r="47" spans="1:6" x14ac:dyDescent="0.2">
      <c r="A47" s="188"/>
      <c r="B47" s="188"/>
      <c r="C47" s="205"/>
      <c r="D47" s="205"/>
      <c r="E47" s="11"/>
      <c r="F47" s="188"/>
    </row>
    <row r="48" spans="1:6" x14ac:dyDescent="0.2">
      <c r="A48" s="188"/>
      <c r="B48" s="188"/>
      <c r="C48" s="188"/>
      <c r="D48" s="188"/>
      <c r="E48" s="188"/>
      <c r="F48" s="188"/>
    </row>
    <row r="52" spans="2:2" x14ac:dyDescent="0.2">
      <c r="B52" s="210"/>
    </row>
  </sheetData>
  <mergeCells count="7">
    <mergeCell ref="K6:S6"/>
    <mergeCell ref="A1:I1"/>
    <mergeCell ref="A2:I2"/>
    <mergeCell ref="A3:I3"/>
    <mergeCell ref="C4:F4"/>
    <mergeCell ref="A5:I5"/>
    <mergeCell ref="M5:P5"/>
  </mergeCells>
  <printOptions horizontalCentered="1"/>
  <pageMargins left="0.4" right="0.4" top="1" bottom="0.75" header="0.5" footer="0.5"/>
  <pageSetup scale="78" fitToWidth="2" fitToHeight="2" orientation="landscape" r:id="rId1"/>
  <headerFooter alignWithMargins="0">
    <oddFooter>&amp;L&amp;F
&amp;A&amp;R&amp;P of &amp;N</oddFooter>
  </headerFooter>
  <colBreaks count="1" manualBreakCount="1">
    <brk id="10" max="36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zoomScaleNormal="100" workbookViewId="0">
      <selection activeCell="H34" sqref="H34"/>
    </sheetView>
  </sheetViews>
  <sheetFormatPr defaultRowHeight="15" x14ac:dyDescent="0.25"/>
  <cols>
    <col min="1" max="1" width="9.28515625" style="42" bestFit="1" customWidth="1"/>
    <col min="2" max="2" width="27.7109375" style="42" bestFit="1" customWidth="1"/>
    <col min="3" max="3" width="20.140625" style="42" bestFit="1" customWidth="1"/>
    <col min="4" max="4" width="19.7109375" style="42" bestFit="1" customWidth="1"/>
    <col min="5" max="5" width="17" style="42" bestFit="1" customWidth="1"/>
    <col min="6" max="6" width="20.140625" style="42" bestFit="1" customWidth="1"/>
    <col min="7" max="7" width="17" style="42" bestFit="1" customWidth="1"/>
    <col min="8" max="8" width="20.5703125" style="42" bestFit="1" customWidth="1"/>
    <col min="9" max="16384" width="9.140625" style="42"/>
  </cols>
  <sheetData>
    <row r="1" spans="1:8" ht="15.75" x14ac:dyDescent="0.25">
      <c r="A1" s="360" t="s">
        <v>70</v>
      </c>
      <c r="B1" s="360"/>
      <c r="C1" s="360"/>
      <c r="D1" s="360"/>
      <c r="E1" s="360"/>
      <c r="F1" s="360"/>
      <c r="G1" s="360"/>
      <c r="H1" s="360"/>
    </row>
    <row r="2" spans="1:8" ht="15.75" x14ac:dyDescent="0.25">
      <c r="A2" s="360" t="s">
        <v>71</v>
      </c>
      <c r="B2" s="360"/>
      <c r="C2" s="360"/>
      <c r="D2" s="360"/>
      <c r="E2" s="360"/>
      <c r="F2" s="360"/>
      <c r="G2" s="360"/>
      <c r="H2" s="360"/>
    </row>
    <row r="3" spans="1:8" ht="15.75" x14ac:dyDescent="0.25">
      <c r="A3" s="43"/>
      <c r="B3" s="43"/>
      <c r="C3" s="43"/>
      <c r="D3" s="43"/>
      <c r="E3" s="43"/>
      <c r="F3" s="43"/>
      <c r="G3" s="43"/>
      <c r="H3" s="43"/>
    </row>
    <row r="4" spans="1:8" s="46" customFormat="1" ht="14.25" customHeight="1" x14ac:dyDescent="0.25">
      <c r="A4" s="44"/>
      <c r="B4" s="44"/>
      <c r="C4" s="45">
        <v>2020</v>
      </c>
      <c r="D4" s="361">
        <v>2021</v>
      </c>
      <c r="E4" s="362"/>
      <c r="F4" s="363">
        <v>2022</v>
      </c>
      <c r="G4" s="363"/>
      <c r="H4" s="363"/>
    </row>
    <row r="5" spans="1:8" s="46" customFormat="1" ht="17.25" x14ac:dyDescent="0.25">
      <c r="A5" s="44" t="s">
        <v>7</v>
      </c>
      <c r="B5" s="44" t="s">
        <v>23</v>
      </c>
      <c r="C5" s="47" t="s">
        <v>72</v>
      </c>
      <c r="D5" s="48" t="s">
        <v>73</v>
      </c>
      <c r="E5" s="47" t="s">
        <v>234</v>
      </c>
      <c r="F5" s="44" t="s">
        <v>73</v>
      </c>
      <c r="G5" s="44" t="s">
        <v>234</v>
      </c>
      <c r="H5" s="49" t="s">
        <v>74</v>
      </c>
    </row>
    <row r="6" spans="1:8" x14ac:dyDescent="0.25">
      <c r="B6" s="46" t="s">
        <v>75</v>
      </c>
      <c r="C6" s="50"/>
      <c r="D6" s="51"/>
      <c r="E6" s="50"/>
    </row>
    <row r="7" spans="1:8" x14ac:dyDescent="0.25">
      <c r="A7" s="53">
        <v>1</v>
      </c>
      <c r="B7" s="52" t="s">
        <v>21</v>
      </c>
      <c r="C7" s="160">
        <f>'Distribution UDC + Bond'!R245</f>
        <v>837724366.68481445</v>
      </c>
      <c r="D7" s="30"/>
      <c r="E7" s="54"/>
      <c r="F7" s="30"/>
      <c r="G7" s="55"/>
      <c r="H7" s="55"/>
    </row>
    <row r="8" spans="1:8" x14ac:dyDescent="0.25">
      <c r="A8" s="53">
        <v>2</v>
      </c>
      <c r="B8" s="52" t="s">
        <v>22</v>
      </c>
      <c r="C8" s="161">
        <f>'Distribution UDC + Bond'!R246</f>
        <v>117203160.08457826</v>
      </c>
      <c r="D8" s="32"/>
      <c r="E8" s="54"/>
      <c r="F8" s="32"/>
      <c r="G8" s="55"/>
      <c r="H8" s="55"/>
    </row>
    <row r="9" spans="1:8" x14ac:dyDescent="0.25">
      <c r="A9" s="53">
        <v>3</v>
      </c>
      <c r="B9" s="52" t="s">
        <v>53</v>
      </c>
      <c r="C9" s="161">
        <f>'Distribution UDC + Bond'!R247</f>
        <v>12338412.756323475</v>
      </c>
      <c r="D9" s="32"/>
      <c r="E9" s="54"/>
      <c r="F9" s="32"/>
      <c r="G9" s="55"/>
      <c r="H9" s="55"/>
    </row>
    <row r="10" spans="1:8" x14ac:dyDescent="0.25">
      <c r="A10" s="53">
        <v>4</v>
      </c>
      <c r="B10" s="52" t="s">
        <v>52</v>
      </c>
      <c r="C10" s="161">
        <f>'Distribution UDC + Bond'!R248</f>
        <v>52758616.073513113</v>
      </c>
      <c r="D10" s="32"/>
      <c r="E10" s="54"/>
      <c r="F10" s="32"/>
      <c r="G10" s="55"/>
      <c r="H10" s="55"/>
    </row>
    <row r="11" spans="1:8" x14ac:dyDescent="0.25">
      <c r="A11" s="53">
        <v>5</v>
      </c>
      <c r="B11" s="52" t="s">
        <v>24</v>
      </c>
      <c r="C11" s="161">
        <f>'Distribution UDC + Bond'!R249</f>
        <v>12512595.602169819</v>
      </c>
      <c r="D11" s="32"/>
      <c r="E11" s="54"/>
      <c r="F11" s="32"/>
      <c r="G11" s="55"/>
      <c r="H11" s="55"/>
    </row>
    <row r="12" spans="1:8" ht="15.75" thickBot="1" x14ac:dyDescent="0.3">
      <c r="A12" s="53">
        <v>6</v>
      </c>
      <c r="B12" s="56" t="s">
        <v>2</v>
      </c>
      <c r="C12" s="159">
        <f>'Distribution UDC + Bond'!R250</f>
        <v>1032537151.2013992</v>
      </c>
      <c r="D12" s="34"/>
      <c r="E12" s="57"/>
      <c r="F12" s="34"/>
      <c r="G12" s="58"/>
      <c r="H12" s="58"/>
    </row>
    <row r="13" spans="1:8" ht="15.75" thickTop="1" x14ac:dyDescent="0.25">
      <c r="A13" s="53"/>
      <c r="C13" s="35"/>
      <c r="D13" s="32"/>
      <c r="E13" s="54"/>
      <c r="F13" s="36"/>
      <c r="G13" s="55"/>
      <c r="H13" s="55"/>
    </row>
    <row r="14" spans="1:8" x14ac:dyDescent="0.25">
      <c r="A14" s="53"/>
      <c r="B14" s="46" t="s">
        <v>76</v>
      </c>
      <c r="C14" s="50"/>
      <c r="D14" s="51"/>
      <c r="E14" s="59"/>
      <c r="G14" s="53"/>
      <c r="H14" s="53"/>
    </row>
    <row r="15" spans="1:8" x14ac:dyDescent="0.25">
      <c r="A15" s="53">
        <v>7</v>
      </c>
      <c r="B15" s="42" t="s">
        <v>21</v>
      </c>
      <c r="C15" s="37"/>
      <c r="D15" s="121">
        <f>'Distribution UDC + Bond'!X245</f>
        <v>805060780.03936648</v>
      </c>
      <c r="E15" s="60">
        <f>D15/C7-1</f>
        <v>-3.8990851817656824E-2</v>
      </c>
      <c r="F15" s="121">
        <f>'Distribution UDC + Bond'!AD245</f>
        <v>803841819.0088985</v>
      </c>
      <c r="G15" s="61">
        <f t="shared" ref="G15:G20" si="0">F15/C7-1</f>
        <v>-4.0445937856626646E-2</v>
      </c>
      <c r="H15" s="61">
        <f t="shared" ref="H15:H20" si="1">F15/D15-1</f>
        <v>-1.5141229838675496E-3</v>
      </c>
    </row>
    <row r="16" spans="1:8" x14ac:dyDescent="0.25">
      <c r="A16" s="53">
        <v>8</v>
      </c>
      <c r="B16" s="42" t="s">
        <v>22</v>
      </c>
      <c r="C16" s="35"/>
      <c r="D16" s="122">
        <f>'Distribution UDC + Bond'!X246</f>
        <v>115527489.83298443</v>
      </c>
      <c r="E16" s="60">
        <f t="shared" ref="E16:E18" si="2">D16/C8-1</f>
        <v>-1.4297142247569061E-2</v>
      </c>
      <c r="F16" s="122">
        <f>'Distribution UDC + Bond'!AD246</f>
        <v>113814452.31910861</v>
      </c>
      <c r="G16" s="61">
        <f t="shared" si="0"/>
        <v>-2.8913109194532272E-2</v>
      </c>
      <c r="H16" s="61">
        <f t="shared" si="1"/>
        <v>-1.4827964464149024E-2</v>
      </c>
    </row>
    <row r="17" spans="1:9" x14ac:dyDescent="0.25">
      <c r="A17" s="53">
        <v>9</v>
      </c>
      <c r="B17" s="42" t="s">
        <v>53</v>
      </c>
      <c r="C17" s="35"/>
      <c r="D17" s="122">
        <f>'Distribution UDC + Bond'!X247</f>
        <v>13554589.970930312</v>
      </c>
      <c r="E17" s="60">
        <f t="shared" si="2"/>
        <v>9.8568368446220189E-2</v>
      </c>
      <c r="F17" s="122">
        <f>'Distribution UDC + Bond'!AD247</f>
        <v>14273171.847182956</v>
      </c>
      <c r="G17" s="61">
        <f t="shared" si="0"/>
        <v>0.15680777820209579</v>
      </c>
      <c r="H17" s="61">
        <f t="shared" si="1"/>
        <v>5.3013914680838159E-2</v>
      </c>
    </row>
    <row r="18" spans="1:9" x14ac:dyDescent="0.25">
      <c r="A18" s="53">
        <v>10</v>
      </c>
      <c r="B18" s="42" t="s">
        <v>52</v>
      </c>
      <c r="C18" s="35"/>
      <c r="D18" s="122">
        <f>'Distribution UDC + Bond'!X248</f>
        <v>57215787.711612336</v>
      </c>
      <c r="E18" s="60">
        <f t="shared" si="2"/>
        <v>8.4482345630307432E-2</v>
      </c>
      <c r="F18" s="122">
        <f>'Distribution UDC + Bond'!AD248</f>
        <v>59446030.629633352</v>
      </c>
      <c r="G18" s="61">
        <f t="shared" si="0"/>
        <v>0.12675492751368034</v>
      </c>
      <c r="H18" s="61">
        <f t="shared" si="1"/>
        <v>3.8979502113336784E-2</v>
      </c>
    </row>
    <row r="19" spans="1:9" x14ac:dyDescent="0.25">
      <c r="A19" s="53">
        <v>11</v>
      </c>
      <c r="B19" s="42" t="s">
        <v>24</v>
      </c>
      <c r="C19" s="35"/>
      <c r="D19" s="122">
        <f>'Distribution UDC + Bond'!X249</f>
        <v>13048457.763191786</v>
      </c>
      <c r="E19" s="60">
        <f>D19/C11-1</f>
        <v>4.282581952293274E-2</v>
      </c>
      <c r="F19" s="122">
        <f>'Distribution UDC + Bond'!AD249</f>
        <v>13092593.868939836</v>
      </c>
      <c r="G19" s="61">
        <f t="shared" si="0"/>
        <v>4.6353153670964931E-2</v>
      </c>
      <c r="H19" s="61">
        <f t="shared" si="1"/>
        <v>3.3824768067651778E-3</v>
      </c>
    </row>
    <row r="20" spans="1:9" ht="15.75" thickBot="1" x14ac:dyDescent="0.3">
      <c r="A20" s="53">
        <v>12</v>
      </c>
      <c r="B20" s="56" t="s">
        <v>2</v>
      </c>
      <c r="C20" s="33"/>
      <c r="D20" s="123">
        <f>'Distribution UDC + Bond'!X250</f>
        <v>1004407105.3180854</v>
      </c>
      <c r="E20" s="57">
        <f>D20/C12-1</f>
        <v>-2.7243616222993317E-2</v>
      </c>
      <c r="F20" s="123">
        <f>'Distribution UDC + Bond'!AD250</f>
        <v>1004468067.6737633</v>
      </c>
      <c r="G20" s="58">
        <f t="shared" si="0"/>
        <v>-2.7184574903650116E-2</v>
      </c>
      <c r="H20" s="58">
        <f t="shared" si="1"/>
        <v>6.0694867006771958E-5</v>
      </c>
      <c r="I20" s="52"/>
    </row>
    <row r="21" spans="1:9" ht="15.75" thickTop="1" x14ac:dyDescent="0.25"/>
    <row r="22" spans="1:9" ht="17.25" x14ac:dyDescent="0.25">
      <c r="A22" s="62" t="s">
        <v>45</v>
      </c>
      <c r="B22" s="63" t="s">
        <v>235</v>
      </c>
    </row>
    <row r="23" spans="1:9" x14ac:dyDescent="0.25">
      <c r="B23" s="64" t="s">
        <v>236</v>
      </c>
    </row>
  </sheetData>
  <mergeCells count="4">
    <mergeCell ref="A1:H1"/>
    <mergeCell ref="A2:H2"/>
    <mergeCell ref="D4:E4"/>
    <mergeCell ref="F4:H4"/>
  </mergeCells>
  <pageMargins left="0.25" right="0.25" top="0.75" bottom="0.75" header="0.3" footer="0.3"/>
  <pageSetup scale="9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zoomScaleNormal="100" workbookViewId="0">
      <selection activeCell="H34" sqref="H34"/>
    </sheetView>
  </sheetViews>
  <sheetFormatPr defaultRowHeight="15" x14ac:dyDescent="0.25"/>
  <cols>
    <col min="1" max="1" width="9.28515625" style="42" bestFit="1" customWidth="1"/>
    <col min="2" max="2" width="27.7109375" style="42" bestFit="1" customWidth="1"/>
    <col min="3" max="4" width="17.28515625" style="42" bestFit="1" customWidth="1"/>
    <col min="5" max="5" width="17" style="42" bestFit="1" customWidth="1"/>
    <col min="6" max="6" width="17.28515625" style="42" bestFit="1" customWidth="1"/>
    <col min="7" max="7" width="17" style="42" bestFit="1" customWidth="1"/>
    <col min="8" max="8" width="20.5703125" style="42" bestFit="1" customWidth="1"/>
    <col min="9" max="16384" width="9.140625" style="42"/>
  </cols>
  <sheetData>
    <row r="1" spans="1:9" ht="15.75" x14ac:dyDescent="0.25">
      <c r="A1" s="360" t="s">
        <v>77</v>
      </c>
      <c r="B1" s="360"/>
      <c r="C1" s="360"/>
      <c r="D1" s="360"/>
      <c r="E1" s="360"/>
      <c r="F1" s="360"/>
      <c r="G1" s="360"/>
      <c r="H1" s="360"/>
    </row>
    <row r="2" spans="1:9" ht="15.75" x14ac:dyDescent="0.25">
      <c r="A2" s="360" t="s">
        <v>71</v>
      </c>
      <c r="B2" s="360"/>
      <c r="C2" s="360"/>
      <c r="D2" s="360"/>
      <c r="E2" s="360"/>
      <c r="F2" s="360"/>
      <c r="G2" s="360"/>
      <c r="H2" s="360"/>
    </row>
    <row r="3" spans="1:9" ht="15.75" x14ac:dyDescent="0.25">
      <c r="A3" s="43"/>
      <c r="B3" s="43"/>
      <c r="C3" s="43"/>
      <c r="D3" s="43"/>
      <c r="E3" s="43"/>
      <c r="F3" s="43"/>
      <c r="G3" s="43"/>
      <c r="H3" s="43"/>
    </row>
    <row r="4" spans="1:9" s="46" customFormat="1" x14ac:dyDescent="0.25">
      <c r="A4" s="44"/>
      <c r="B4" s="44"/>
      <c r="C4" s="45">
        <v>2020</v>
      </c>
      <c r="D4" s="361">
        <v>2021</v>
      </c>
      <c r="E4" s="362"/>
      <c r="F4" s="363">
        <v>2022</v>
      </c>
      <c r="G4" s="363"/>
      <c r="H4" s="363"/>
    </row>
    <row r="5" spans="1:9" s="46" customFormat="1" ht="17.25" x14ac:dyDescent="0.25">
      <c r="A5" s="44" t="s">
        <v>7</v>
      </c>
      <c r="B5" s="44" t="s">
        <v>23</v>
      </c>
      <c r="C5" s="47" t="s">
        <v>72</v>
      </c>
      <c r="D5" s="48" t="s">
        <v>73</v>
      </c>
      <c r="E5" s="47" t="s">
        <v>234</v>
      </c>
      <c r="F5" s="44" t="s">
        <v>73</v>
      </c>
      <c r="G5" s="44" t="s">
        <v>234</v>
      </c>
      <c r="H5" s="49" t="s">
        <v>74</v>
      </c>
    </row>
    <row r="6" spans="1:9" x14ac:dyDescent="0.25">
      <c r="B6" s="46" t="s">
        <v>75</v>
      </c>
      <c r="C6" s="50"/>
      <c r="D6" s="51"/>
      <c r="E6" s="50"/>
    </row>
    <row r="7" spans="1:9" x14ac:dyDescent="0.25">
      <c r="A7" s="53">
        <v>1</v>
      </c>
      <c r="B7" s="52" t="s">
        <v>22</v>
      </c>
      <c r="C7" s="29">
        <f>'Distribution UDC + Bond'!R253</f>
        <v>8195756.5821064953</v>
      </c>
      <c r="D7" s="30"/>
      <c r="E7" s="54"/>
      <c r="F7" s="30"/>
      <c r="G7" s="55"/>
      <c r="H7" s="55"/>
    </row>
    <row r="8" spans="1:9" x14ac:dyDescent="0.25">
      <c r="A8" s="53">
        <v>2</v>
      </c>
      <c r="B8" s="52" t="s">
        <v>52</v>
      </c>
      <c r="C8" s="31">
        <f>'Distribution UDC + Bond'!R254</f>
        <v>4659697.2094997494</v>
      </c>
      <c r="D8" s="32"/>
      <c r="E8" s="54"/>
      <c r="F8" s="32"/>
      <c r="G8" s="55"/>
      <c r="H8" s="55"/>
    </row>
    <row r="9" spans="1:9" x14ac:dyDescent="0.25">
      <c r="A9" s="53">
        <v>3</v>
      </c>
      <c r="B9" s="52" t="s">
        <v>24</v>
      </c>
      <c r="C9" s="158">
        <f>'Distribution UDC + Bond'!R255</f>
        <v>27087174.993905339</v>
      </c>
      <c r="D9" s="32"/>
      <c r="E9" s="54"/>
      <c r="F9" s="32"/>
      <c r="G9" s="55"/>
      <c r="H9" s="55"/>
    </row>
    <row r="10" spans="1:9" ht="15.75" thickBot="1" x14ac:dyDescent="0.3">
      <c r="A10" s="53">
        <v>4</v>
      </c>
      <c r="B10" s="76" t="s">
        <v>2</v>
      </c>
      <c r="C10" s="159">
        <f>'Distribution UDC + Bond'!R256</f>
        <v>39942628.785511583</v>
      </c>
      <c r="D10" s="34"/>
      <c r="E10" s="57"/>
      <c r="F10" s="34"/>
      <c r="G10" s="58"/>
      <c r="H10" s="58"/>
    </row>
    <row r="11" spans="1:9" ht="15.75" thickTop="1" x14ac:dyDescent="0.25">
      <c r="A11" s="53"/>
      <c r="C11" s="41"/>
      <c r="D11" s="32"/>
      <c r="E11" s="54"/>
      <c r="F11" s="36"/>
      <c r="G11" s="55"/>
      <c r="H11" s="55"/>
    </row>
    <row r="12" spans="1:9" x14ac:dyDescent="0.25">
      <c r="A12" s="53"/>
      <c r="B12" s="46" t="s">
        <v>76</v>
      </c>
      <c r="C12" s="50"/>
      <c r="D12" s="32"/>
      <c r="E12" s="59"/>
      <c r="G12" s="53"/>
      <c r="H12" s="53"/>
    </row>
    <row r="13" spans="1:9" x14ac:dyDescent="0.25">
      <c r="A13" s="53">
        <v>5</v>
      </c>
      <c r="B13" s="42" t="s">
        <v>22</v>
      </c>
      <c r="C13" s="37"/>
      <c r="D13" s="38">
        <f>'Distribution UDC + Bond'!X253</f>
        <v>7217563.1927285539</v>
      </c>
      <c r="E13" s="60">
        <f>D13/C7-1</f>
        <v>-0.11935364106757351</v>
      </c>
      <c r="F13" s="38">
        <f>'Distribution UDC + Bond'!AD253</f>
        <v>7128393.5484435167</v>
      </c>
      <c r="G13" s="61">
        <f>F13/C7-1</f>
        <v>-0.13023361821083301</v>
      </c>
      <c r="H13" s="60">
        <f>F13/D13-1</f>
        <v>-1.235453599836478E-2</v>
      </c>
    </row>
    <row r="14" spans="1:9" x14ac:dyDescent="0.25">
      <c r="A14" s="53">
        <v>6</v>
      </c>
      <c r="B14" s="42" t="s">
        <v>52</v>
      </c>
      <c r="C14" s="41"/>
      <c r="D14" s="39">
        <f>'Distribution UDC + Bond'!X254</f>
        <v>4636179.9452768909</v>
      </c>
      <c r="E14" s="60">
        <f>D14/C8-1</f>
        <v>-5.0469511570223613E-3</v>
      </c>
      <c r="F14" s="39">
        <f>'Distribution UDC + Bond'!AD254</f>
        <v>4802929.7674110252</v>
      </c>
      <c r="G14" s="61">
        <f>F14/C8-1</f>
        <v>3.0738597696705838E-2</v>
      </c>
      <c r="H14" s="60">
        <f>F14/D14-1</f>
        <v>3.5967072913986264E-2</v>
      </c>
    </row>
    <row r="15" spans="1:9" x14ac:dyDescent="0.25">
      <c r="A15" s="53">
        <v>7</v>
      </c>
      <c r="B15" s="42" t="s">
        <v>24</v>
      </c>
      <c r="C15" s="41"/>
      <c r="D15" s="39">
        <f>'Distribution UDC + Bond'!X255</f>
        <v>25693702.202520896</v>
      </c>
      <c r="E15" s="60">
        <f>D15/C9-1</f>
        <v>-5.1444005943697579E-2</v>
      </c>
      <c r="F15" s="39">
        <f>'Distribution UDC + Bond'!AD255</f>
        <v>25693702.202520896</v>
      </c>
      <c r="G15" s="61">
        <f>F15/C9-1</f>
        <v>-5.1444005943697579E-2</v>
      </c>
      <c r="H15" s="60">
        <f>F15/D15-1</f>
        <v>0</v>
      </c>
    </row>
    <row r="16" spans="1:9" ht="15.75" thickBot="1" x14ac:dyDescent="0.3">
      <c r="A16" s="53">
        <v>8</v>
      </c>
      <c r="B16" s="56" t="s">
        <v>2</v>
      </c>
      <c r="C16" s="40"/>
      <c r="D16" s="34">
        <f>'Distribution UDC + Bond'!X256</f>
        <v>37547445.340526342</v>
      </c>
      <c r="E16" s="57">
        <f>D16/C10-1</f>
        <v>-5.996559359793685E-2</v>
      </c>
      <c r="F16" s="34">
        <f>'Distribution UDC + Bond'!AD256</f>
        <v>37625025.518375441</v>
      </c>
      <c r="G16" s="58">
        <f>F16/C10-1</f>
        <v>-5.8023303362967571E-2</v>
      </c>
      <c r="H16" s="57">
        <f>F16/D16-1</f>
        <v>2.0661905795589242E-3</v>
      </c>
      <c r="I16" s="52"/>
    </row>
    <row r="17" spans="1:2" ht="15.75" thickTop="1" x14ac:dyDescent="0.25"/>
    <row r="18" spans="1:2" ht="17.25" x14ac:dyDescent="0.25">
      <c r="A18" s="62" t="s">
        <v>29</v>
      </c>
      <c r="B18" s="63" t="s">
        <v>235</v>
      </c>
    </row>
    <row r="19" spans="1:2" x14ac:dyDescent="0.25">
      <c r="B19" s="64" t="s">
        <v>236</v>
      </c>
    </row>
    <row r="20" spans="1:2" x14ac:dyDescent="0.25">
      <c r="B20" s="64"/>
    </row>
  </sheetData>
  <mergeCells count="4">
    <mergeCell ref="A1:H1"/>
    <mergeCell ref="A2:H2"/>
    <mergeCell ref="D4:E4"/>
    <mergeCell ref="F4:H4"/>
  </mergeCells>
  <pageMargins left="0.25" right="0.25" top="0.75" bottom="0.75" header="0.3" footer="0.3"/>
  <pageSetup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3"/>
  <sheetViews>
    <sheetView zoomScaleNormal="100" workbookViewId="0">
      <selection activeCell="E28" sqref="E28"/>
    </sheetView>
  </sheetViews>
  <sheetFormatPr defaultRowHeight="14.25" x14ac:dyDescent="0.2"/>
  <cols>
    <col min="1" max="1" width="3.85546875" style="162" customWidth="1"/>
    <col min="2" max="2" width="20.28515625" style="162" customWidth="1"/>
    <col min="3" max="3" width="15.140625" style="162" customWidth="1"/>
    <col min="4" max="4" width="14.5703125" style="162" customWidth="1"/>
    <col min="5" max="5" width="16.140625" style="162" customWidth="1"/>
    <col min="6" max="6" width="15.28515625" style="162" customWidth="1"/>
    <col min="7" max="7" width="13.5703125" style="162" customWidth="1"/>
    <col min="8" max="8" width="16" style="162" customWidth="1"/>
    <col min="9" max="16384" width="9.140625" style="162"/>
  </cols>
  <sheetData>
    <row r="1" spans="2:8" ht="23.25" x14ac:dyDescent="0.35">
      <c r="B1" s="342" t="s">
        <v>268</v>
      </c>
      <c r="C1" s="342"/>
      <c r="D1" s="342"/>
      <c r="E1" s="342"/>
      <c r="F1" s="342"/>
      <c r="G1" s="342"/>
      <c r="H1" s="342"/>
    </row>
    <row r="4" spans="2:8" ht="18" x14ac:dyDescent="0.25">
      <c r="B4" s="343" t="s">
        <v>264</v>
      </c>
      <c r="C4" s="343"/>
      <c r="D4" s="343"/>
      <c r="E4" s="343"/>
      <c r="F4" s="343"/>
      <c r="G4" s="343"/>
      <c r="H4" s="343"/>
    </row>
    <row r="5" spans="2:8" ht="18" x14ac:dyDescent="0.25">
      <c r="B5" s="343" t="s">
        <v>263</v>
      </c>
      <c r="C5" s="343"/>
      <c r="D5" s="343"/>
      <c r="E5" s="343"/>
      <c r="F5" s="343"/>
      <c r="G5" s="343"/>
      <c r="H5" s="343"/>
    </row>
    <row r="6" spans="2:8" ht="18" x14ac:dyDescent="0.25">
      <c r="B6" s="344" t="s">
        <v>9</v>
      </c>
      <c r="C6" s="344"/>
      <c r="D6" s="344"/>
      <c r="E6" s="344"/>
      <c r="F6" s="344"/>
      <c r="G6" s="344"/>
      <c r="H6" s="344"/>
    </row>
    <row r="8" spans="2:8" ht="18.75" thickBot="1" x14ac:dyDescent="0.3">
      <c r="B8" s="165"/>
      <c r="C8" s="164"/>
      <c r="D8" s="164"/>
      <c r="E8" s="164"/>
      <c r="F8" s="164"/>
      <c r="G8" s="164"/>
      <c r="H8" s="164"/>
    </row>
    <row r="9" spans="2:8" ht="15.75" thickBot="1" x14ac:dyDescent="0.3">
      <c r="C9" s="348" t="s">
        <v>0</v>
      </c>
      <c r="D9" s="350"/>
      <c r="E9" s="349"/>
      <c r="F9" s="348" t="s">
        <v>254</v>
      </c>
      <c r="G9" s="350"/>
      <c r="H9" s="349"/>
    </row>
    <row r="10" spans="2:8" ht="36" customHeight="1" thickBot="1" x14ac:dyDescent="0.25">
      <c r="B10" s="166"/>
      <c r="C10" s="175" t="s">
        <v>257</v>
      </c>
      <c r="D10" s="176" t="s">
        <v>258</v>
      </c>
      <c r="E10" s="176" t="s">
        <v>269</v>
      </c>
      <c r="F10" s="175" t="s">
        <v>257</v>
      </c>
      <c r="G10" s="176" t="s">
        <v>258</v>
      </c>
      <c r="H10" s="176" t="s">
        <v>269</v>
      </c>
    </row>
    <row r="11" spans="2:8" ht="15" thickBot="1" x14ac:dyDescent="0.25">
      <c r="B11" s="167"/>
      <c r="C11" s="168"/>
      <c r="D11" s="168"/>
      <c r="E11" s="168"/>
      <c r="F11" s="168"/>
      <c r="G11" s="168"/>
      <c r="H11" s="168"/>
    </row>
    <row r="12" spans="2:8" ht="15" thickBot="1" x14ac:dyDescent="0.25">
      <c r="B12" s="169" t="s">
        <v>183</v>
      </c>
      <c r="C12" s="172">
        <f>'Schedule 1 and 2 Workpaper'!C26</f>
        <v>816648.64650198817</v>
      </c>
      <c r="D12" s="172">
        <f>'Schedule 1 and 2 Workpaper'!D26</f>
        <v>702270.83142646973</v>
      </c>
      <c r="E12" s="172">
        <f>D12-C12</f>
        <v>-114377.81507551845</v>
      </c>
      <c r="F12" s="172">
        <f>'Schedule 1 and 2 Workpaper'!E26</f>
        <v>624168.12736262602</v>
      </c>
      <c r="G12" s="172">
        <f>'Schedule 1 and 2 Workpaper'!F26</f>
        <v>603591.90643759177</v>
      </c>
      <c r="H12" s="172">
        <f>G12-F12</f>
        <v>-20576.220925034257</v>
      </c>
    </row>
    <row r="13" spans="2:8" ht="15" thickBot="1" x14ac:dyDescent="0.25">
      <c r="B13" s="169" t="s">
        <v>189</v>
      </c>
      <c r="C13" s="172">
        <f>'Schedule 1 and 2 Workpaper'!C27</f>
        <v>230377.53646456861</v>
      </c>
      <c r="D13" s="172">
        <f>'Schedule 1 and 2 Workpaper'!D27</f>
        <v>249198.12673297551</v>
      </c>
      <c r="E13" s="172">
        <f t="shared" ref="E13:E17" si="0">D13-C13</f>
        <v>18820.590268406901</v>
      </c>
      <c r="F13" s="172">
        <f>'Schedule 1 and 2 Workpaper'!E27</f>
        <v>192597.1798924747</v>
      </c>
      <c r="G13" s="172">
        <f>'Schedule 1 and 2 Workpaper'!F27</f>
        <v>186061.86451019091</v>
      </c>
      <c r="H13" s="172">
        <f t="shared" ref="H13:H17" si="1">G13-F13</f>
        <v>-6535.3153822837921</v>
      </c>
    </row>
    <row r="14" spans="2:8" ht="15" thickBot="1" x14ac:dyDescent="0.25">
      <c r="B14" s="169" t="s">
        <v>127</v>
      </c>
      <c r="C14" s="172">
        <f>'Schedule 1 and 2 Workpaper'!C28</f>
        <v>490942.47425897728</v>
      </c>
      <c r="D14" s="172">
        <f>'Schedule 1 and 2 Workpaper'!D28</f>
        <v>584159.63606106117</v>
      </c>
      <c r="E14" s="172">
        <f t="shared" si="0"/>
        <v>93217.161802083894</v>
      </c>
      <c r="F14" s="172">
        <f>'Schedule 1 and 2 Workpaper'!E28</f>
        <v>531706.08223662421</v>
      </c>
      <c r="G14" s="172">
        <f>'Schedule 1 and 2 Workpaper'!F28</f>
        <v>568376.1412419593</v>
      </c>
      <c r="H14" s="172">
        <f t="shared" si="1"/>
        <v>36670.05900533509</v>
      </c>
    </row>
    <row r="15" spans="2:8" ht="15" thickBot="1" x14ac:dyDescent="0.25">
      <c r="B15" s="169" t="s">
        <v>202</v>
      </c>
      <c r="C15" s="172">
        <f>'Schedule 1 and 2 Workpaper'!C29</f>
        <v>19065.727155688441</v>
      </c>
      <c r="D15" s="172">
        <f>'Schedule 1 and 2 Workpaper'!D29</f>
        <v>20716.923728065332</v>
      </c>
      <c r="E15" s="172">
        <f t="shared" si="0"/>
        <v>1651.1965723768917</v>
      </c>
      <c r="F15" s="172">
        <f>'Schedule 1 and 2 Workpaper'!E29</f>
        <v>26566.226093356814</v>
      </c>
      <c r="G15" s="172">
        <f>'Schedule 1 and 2 Workpaper'!F29</f>
        <v>21070.460321764978</v>
      </c>
      <c r="H15" s="172">
        <f t="shared" si="1"/>
        <v>-5495.7657715918358</v>
      </c>
    </row>
    <row r="16" spans="2:8" ht="15" thickBot="1" x14ac:dyDescent="0.25">
      <c r="B16" s="169" t="s">
        <v>259</v>
      </c>
      <c r="C16" s="172">
        <f>'Schedule 1 and 2 Workpaper'!C30</f>
        <v>9532.8635778442203</v>
      </c>
      <c r="D16" s="172">
        <f>'Schedule 1 and 2 Workpaper'!D30</f>
        <v>10221.730010494892</v>
      </c>
      <c r="E16" s="172">
        <f t="shared" si="0"/>
        <v>688.86643265067141</v>
      </c>
      <c r="F16" s="172">
        <f>'Schedule 1 and 2 Workpaper'!E30</f>
        <v>8638.9887669951349</v>
      </c>
      <c r="G16" s="172">
        <f>'Schedule 1 and 2 Workpaper'!F30</f>
        <v>5169.857421391398</v>
      </c>
      <c r="H16" s="172">
        <f t="shared" si="1"/>
        <v>-3469.1313456037369</v>
      </c>
    </row>
    <row r="17" spans="2:8" ht="15" thickBot="1" x14ac:dyDescent="0.25">
      <c r="B17" s="169" t="s">
        <v>260</v>
      </c>
      <c r="C17" s="172">
        <f>'Schedule 1 and 2 Workpaper'!C31</f>
        <v>22243.348348303178</v>
      </c>
      <c r="D17" s="172">
        <f>'Schedule 1 and 2 Workpaper'!D31</f>
        <v>22243.348348303163</v>
      </c>
      <c r="E17" s="172">
        <f t="shared" si="0"/>
        <v>0</v>
      </c>
      <c r="F17" s="172">
        <f>'Schedule 1 and 2 Workpaper'!E31</f>
        <v>25604.85667739328</v>
      </c>
      <c r="G17" s="172">
        <f>'Schedule 1 and 2 Workpaper'!F31</f>
        <v>25011.231096571533</v>
      </c>
      <c r="H17" s="172">
        <f t="shared" si="1"/>
        <v>-593.62558082174655</v>
      </c>
    </row>
    <row r="18" spans="2:8" ht="15.75" thickBot="1" x14ac:dyDescent="0.25">
      <c r="B18" s="173" t="s">
        <v>2</v>
      </c>
      <c r="C18" s="177">
        <f>'Schedule 1 and 2 Workpaper'!C32</f>
        <v>1588810.5963073699</v>
      </c>
      <c r="D18" s="177">
        <f>'Schedule 1 and 2 Workpaper'!D32</f>
        <v>1588810.5963073699</v>
      </c>
      <c r="E18" s="177">
        <f>SUM(E12:E17)</f>
        <v>-8.9130480773746967E-11</v>
      </c>
      <c r="F18" s="177">
        <f>'Schedule 1 and 2 Workpaper'!E32</f>
        <v>1409281.4610294704</v>
      </c>
      <c r="G18" s="177">
        <f>'Schedule 1 and 2 Workpaper'!F32</f>
        <v>1409281.4610294704</v>
      </c>
      <c r="H18" s="177">
        <f>SUM(H12:H17)</f>
        <v>-2.7830537874251604E-10</v>
      </c>
    </row>
    <row r="23" spans="2:8" x14ac:dyDescent="0.2">
      <c r="B23" s="162" t="s">
        <v>265</v>
      </c>
    </row>
  </sheetData>
  <mergeCells count="6">
    <mergeCell ref="F9:H9"/>
    <mergeCell ref="B1:H1"/>
    <mergeCell ref="B4:H4"/>
    <mergeCell ref="B5:H5"/>
    <mergeCell ref="B6:H6"/>
    <mergeCell ref="C9:E9"/>
  </mergeCells>
  <printOptions horizontalCentered="1"/>
  <pageMargins left="0.7" right="0.7" top="0.75" bottom="0.75" header="0.3" footer="0.3"/>
  <pageSetup orientation="landscape" r:id="rId1"/>
  <headerFooter>
    <oddHeader>&amp;R&amp;"Arial,Bold"Schedule MEB 2
Page 2 of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workbookViewId="0">
      <selection activeCell="O31" sqref="O31"/>
    </sheetView>
  </sheetViews>
  <sheetFormatPr defaultRowHeight="12.75" x14ac:dyDescent="0.2"/>
  <cols>
    <col min="1" max="1" width="5" bestFit="1" customWidth="1"/>
    <col min="2" max="2" width="1.42578125" customWidth="1"/>
    <col min="3" max="3" width="21.140625" bestFit="1" customWidth="1"/>
    <col min="4" max="4" width="2.7109375" customWidth="1"/>
    <col min="5" max="5" width="10.28515625" customWidth="1"/>
    <col min="6" max="6" width="2.5703125" customWidth="1"/>
    <col min="7" max="7" width="10" customWidth="1"/>
    <col min="8" max="8" width="1" customWidth="1"/>
    <col min="9" max="9" width="2.5703125" customWidth="1"/>
    <col min="10" max="10" width="9.7109375" bestFit="1" customWidth="1"/>
    <col min="11" max="11" width="1.28515625" customWidth="1"/>
    <col min="12" max="12" width="1.85546875" customWidth="1"/>
    <col min="13" max="13" width="9.7109375" bestFit="1" customWidth="1"/>
  </cols>
  <sheetData>
    <row r="1" spans="1:13" ht="18" x14ac:dyDescent="0.25">
      <c r="A1" s="351" t="s">
        <v>70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</row>
    <row r="2" spans="1:13" ht="18" x14ac:dyDescent="0.25">
      <c r="C2" s="28"/>
      <c r="D2" s="74"/>
      <c r="E2" s="28"/>
      <c r="F2" s="28"/>
      <c r="G2" s="28"/>
      <c r="H2" s="74"/>
      <c r="I2" s="74"/>
      <c r="J2" s="28"/>
      <c r="K2" s="74"/>
      <c r="L2" s="28"/>
      <c r="M2" s="28"/>
    </row>
    <row r="3" spans="1:13" ht="18" x14ac:dyDescent="0.25">
      <c r="A3" s="351" t="s">
        <v>95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</row>
    <row r="4" spans="1:13" ht="18" x14ac:dyDescent="0.25">
      <c r="A4" s="352" t="s">
        <v>110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</row>
    <row r="5" spans="1:13" ht="18" x14ac:dyDescent="0.25">
      <c r="A5" s="28"/>
      <c r="B5" s="74"/>
      <c r="C5" s="28"/>
      <c r="D5" s="74"/>
      <c r="E5" s="28"/>
      <c r="F5" s="28"/>
      <c r="G5" s="28"/>
      <c r="H5" s="74"/>
      <c r="I5" s="74"/>
      <c r="J5" s="28"/>
      <c r="K5" s="74"/>
      <c r="L5" s="28"/>
      <c r="M5" s="28"/>
    </row>
    <row r="7" spans="1:13" x14ac:dyDescent="0.2">
      <c r="E7" s="12"/>
      <c r="F7" s="12"/>
      <c r="G7" s="12"/>
      <c r="H7" s="12"/>
      <c r="I7" s="81"/>
      <c r="J7" s="81" t="s">
        <v>111</v>
      </c>
      <c r="K7" s="81"/>
      <c r="L7" s="12"/>
      <c r="M7" s="19"/>
    </row>
    <row r="8" spans="1:13" x14ac:dyDescent="0.2">
      <c r="E8" s="19" t="s">
        <v>0</v>
      </c>
      <c r="F8" s="22"/>
      <c r="G8" s="81" t="s">
        <v>24</v>
      </c>
      <c r="H8" s="81"/>
      <c r="I8" s="19"/>
      <c r="J8" s="81" t="s">
        <v>112</v>
      </c>
      <c r="K8" s="81"/>
      <c r="L8" s="22"/>
      <c r="M8" s="19" t="s">
        <v>2</v>
      </c>
    </row>
    <row r="9" spans="1:13" x14ac:dyDescent="0.2">
      <c r="A9" s="77" t="s">
        <v>7</v>
      </c>
      <c r="B9" s="23"/>
      <c r="C9" s="77" t="s">
        <v>23</v>
      </c>
      <c r="D9" s="23"/>
      <c r="E9" s="78" t="s">
        <v>9</v>
      </c>
      <c r="F9" s="22"/>
      <c r="G9" s="83" t="s">
        <v>9</v>
      </c>
      <c r="H9" s="83"/>
      <c r="I9" s="80"/>
      <c r="J9" s="83" t="s">
        <v>9</v>
      </c>
      <c r="K9" s="83"/>
      <c r="L9" s="22"/>
      <c r="M9" s="78" t="s">
        <v>9</v>
      </c>
    </row>
    <row r="10" spans="1:13" x14ac:dyDescent="0.2">
      <c r="C10" s="23"/>
      <c r="D10" s="23"/>
      <c r="E10" s="70" t="s">
        <v>88</v>
      </c>
      <c r="F10" s="19"/>
      <c r="G10" s="84" t="s">
        <v>89</v>
      </c>
      <c r="H10" s="84"/>
      <c r="I10" s="70"/>
      <c r="J10" s="84" t="s">
        <v>90</v>
      </c>
      <c r="K10" s="84"/>
      <c r="L10" s="19"/>
      <c r="M10" s="70" t="s">
        <v>104</v>
      </c>
    </row>
    <row r="12" spans="1:13" x14ac:dyDescent="0.2">
      <c r="A12" s="21">
        <v>1</v>
      </c>
      <c r="B12" s="21"/>
      <c r="C12" s="69" t="s">
        <v>21</v>
      </c>
      <c r="D12" s="69"/>
      <c r="E12" s="24">
        <f>'Distrib Class EPMC Rates Workp'!N278</f>
        <v>403095.12019950419</v>
      </c>
      <c r="G12" s="24">
        <f>'Distrib Class EPMC Rates Workp'!N286</f>
        <v>162694.76456824719</v>
      </c>
      <c r="H12" s="24"/>
      <c r="I12" s="24"/>
      <c r="J12" s="24">
        <f>'Distrib Class EPMC Rates Workp'!N294</f>
        <v>140362.19526282919</v>
      </c>
      <c r="K12" s="24"/>
      <c r="M12" s="24">
        <f>E12+G12+J12</f>
        <v>706152.08003058063</v>
      </c>
    </row>
    <row r="13" spans="1:13" x14ac:dyDescent="0.2">
      <c r="A13" s="21"/>
      <c r="B13" s="21"/>
      <c r="C13" s="69"/>
      <c r="D13" s="69"/>
      <c r="E13" s="24"/>
      <c r="G13" s="24"/>
      <c r="H13" s="24"/>
      <c r="I13" s="24"/>
      <c r="J13" s="24"/>
      <c r="K13" s="24"/>
      <c r="M13" s="66"/>
    </row>
    <row r="14" spans="1:13" x14ac:dyDescent="0.2">
      <c r="A14" s="21">
        <v>2</v>
      </c>
      <c r="B14" s="21"/>
      <c r="C14" s="69" t="s">
        <v>22</v>
      </c>
      <c r="D14" s="69"/>
      <c r="E14" s="25">
        <f>'Distrib Class EPMC Rates Workp'!N279</f>
        <v>88208.086990506999</v>
      </c>
      <c r="G14" s="25">
        <f>'Distrib Class EPMC Rates Workp'!N287</f>
        <v>20881.704843354346</v>
      </c>
      <c r="H14" s="71"/>
      <c r="I14" s="71"/>
      <c r="J14" s="25">
        <f>'Distrib Class EPMC Rates Workp'!N295</f>
        <v>23262.913038514682</v>
      </c>
      <c r="K14" s="71"/>
      <c r="M14" s="25">
        <f>E14+G14+J14</f>
        <v>132352.70487237602</v>
      </c>
    </row>
    <row r="15" spans="1:13" x14ac:dyDescent="0.2">
      <c r="A15" s="21"/>
      <c r="B15" s="21"/>
      <c r="C15" s="69"/>
      <c r="D15" s="69"/>
      <c r="E15" s="71"/>
      <c r="G15" s="71"/>
      <c r="H15" s="71"/>
      <c r="I15" s="71"/>
      <c r="J15" s="71"/>
      <c r="K15" s="71"/>
      <c r="M15" s="72"/>
    </row>
    <row r="16" spans="1:13" x14ac:dyDescent="0.2">
      <c r="A16" s="21">
        <v>3</v>
      </c>
      <c r="B16" s="21"/>
      <c r="C16" s="19" t="s">
        <v>91</v>
      </c>
      <c r="D16" s="19"/>
      <c r="E16" s="26">
        <f>E12+E14</f>
        <v>491303.20719001116</v>
      </c>
      <c r="G16" s="26">
        <f>G12+G14</f>
        <v>183576.46941160155</v>
      </c>
      <c r="H16" s="26"/>
      <c r="I16" s="26"/>
      <c r="J16" s="26">
        <f>J12+J14</f>
        <v>163625.10830134386</v>
      </c>
      <c r="K16" s="26"/>
      <c r="M16" s="26">
        <f>M12+M14</f>
        <v>838504.78490295669</v>
      </c>
    </row>
    <row r="17" spans="1:13" x14ac:dyDescent="0.2">
      <c r="A17" s="21"/>
      <c r="B17" s="21"/>
      <c r="C17" s="19"/>
      <c r="D17" s="19"/>
      <c r="E17" s="26"/>
      <c r="G17" s="26"/>
      <c r="H17" s="26"/>
      <c r="I17" s="26"/>
      <c r="J17" s="26"/>
      <c r="K17" s="26"/>
      <c r="M17" s="66"/>
    </row>
    <row r="18" spans="1:13" x14ac:dyDescent="0.2">
      <c r="A18" s="21">
        <v>4</v>
      </c>
      <c r="B18" s="21"/>
      <c r="C18" s="12" t="s">
        <v>53</v>
      </c>
      <c r="D18" s="12"/>
      <c r="E18" s="26">
        <f>'Distrib Class EPMC Rates Workp'!N280</f>
        <v>2540.9173597456875</v>
      </c>
      <c r="G18" s="26">
        <f>'Distrib Class EPMC Rates Workp'!N288</f>
        <v>2980.7159322302041</v>
      </c>
      <c r="H18" s="26"/>
      <c r="I18" s="26"/>
      <c r="J18" s="26">
        <f>'Distrib Class EPMC Rates Workp'!N296</f>
        <v>4546.4186761256387</v>
      </c>
      <c r="K18" s="26"/>
      <c r="M18" s="24">
        <f>E18+G18+J18</f>
        <v>10068.05196810153</v>
      </c>
    </row>
    <row r="19" spans="1:13" x14ac:dyDescent="0.2">
      <c r="A19" s="21"/>
      <c r="B19" s="21"/>
      <c r="C19" s="12"/>
      <c r="D19" s="12"/>
      <c r="E19" s="26"/>
      <c r="G19" s="26"/>
      <c r="H19" s="26"/>
      <c r="I19" s="26"/>
      <c r="J19" s="26"/>
      <c r="K19" s="26"/>
      <c r="M19" s="66"/>
    </row>
    <row r="20" spans="1:13" x14ac:dyDescent="0.2">
      <c r="A20" s="21">
        <v>5</v>
      </c>
      <c r="B20" s="21"/>
      <c r="C20" s="12" t="s">
        <v>52</v>
      </c>
      <c r="D20" s="12"/>
      <c r="E20" s="26">
        <f>'Distrib Class EPMC Rates Workp'!N281</f>
        <v>11105.173659294696</v>
      </c>
      <c r="G20" s="26">
        <f>'Distrib Class EPMC Rates Workp'!N289</f>
        <v>14962.702529263204</v>
      </c>
      <c r="H20" s="26"/>
      <c r="I20" s="26"/>
      <c r="J20" s="26">
        <f>'Distrib Class EPMC Rates Workp'!N297</f>
        <v>20633.188801037199</v>
      </c>
      <c r="K20" s="26"/>
      <c r="M20" s="24">
        <f>E20+G20+J20</f>
        <v>46701.064989595099</v>
      </c>
    </row>
    <row r="21" spans="1:13" x14ac:dyDescent="0.2">
      <c r="A21" s="21"/>
      <c r="B21" s="21"/>
      <c r="C21" s="12"/>
      <c r="D21" s="12"/>
      <c r="E21" s="26"/>
      <c r="G21" s="26"/>
      <c r="H21" s="26"/>
      <c r="I21" s="26"/>
      <c r="J21" s="26"/>
      <c r="K21" s="26"/>
      <c r="M21" s="66"/>
    </row>
    <row r="22" spans="1:13" x14ac:dyDescent="0.2">
      <c r="A22" s="21">
        <v>6</v>
      </c>
      <c r="B22" s="21"/>
      <c r="C22" s="12" t="s">
        <v>24</v>
      </c>
      <c r="D22" s="12"/>
      <c r="E22" s="26">
        <f>'Distrib Class EPMC Rates Workp'!N282</f>
        <v>403.31983205388764</v>
      </c>
      <c r="G22" s="26">
        <f>'Distrib Class EPMC Rates Workp'!N290</f>
        <v>7800.3509547382109</v>
      </c>
      <c r="H22" s="26"/>
      <c r="I22" s="26"/>
      <c r="J22" s="26">
        <f>'Distrib Class EPMC Rates Workp'!N298</f>
        <v>3490.8194357731345</v>
      </c>
      <c r="K22" s="26"/>
      <c r="M22" s="24">
        <f>E22+G22+J22</f>
        <v>11694.490222565233</v>
      </c>
    </row>
    <row r="23" spans="1:13" x14ac:dyDescent="0.2">
      <c r="A23" s="21"/>
      <c r="B23" s="21"/>
      <c r="C23" s="12"/>
      <c r="D23" s="12"/>
      <c r="E23" s="26"/>
      <c r="G23" s="26"/>
      <c r="H23" s="26"/>
      <c r="I23" s="26"/>
      <c r="J23" s="26"/>
      <c r="K23" s="26"/>
      <c r="M23" s="66"/>
    </row>
    <row r="24" spans="1:13" ht="13.5" thickBot="1" x14ac:dyDescent="0.25">
      <c r="A24" s="21">
        <v>7</v>
      </c>
      <c r="B24" s="21"/>
      <c r="C24" s="19" t="s">
        <v>2</v>
      </c>
      <c r="D24" s="19"/>
      <c r="E24" s="27">
        <f>SUM(E16:E22)</f>
        <v>505352.61804110545</v>
      </c>
      <c r="G24" s="27">
        <f>SUM(G16:G22)</f>
        <v>209320.23882783318</v>
      </c>
      <c r="H24" s="73"/>
      <c r="I24" s="73"/>
      <c r="J24" s="27">
        <f>SUM(J16:J22)</f>
        <v>192295.53521427984</v>
      </c>
      <c r="K24" s="73"/>
      <c r="M24" s="27">
        <f>SUM(M16:M22)</f>
        <v>906968.39208321855</v>
      </c>
    </row>
    <row r="25" spans="1:13" ht="13.5" thickTop="1" x14ac:dyDescent="0.2"/>
  </sheetData>
  <mergeCells count="3">
    <mergeCell ref="A1:M1"/>
    <mergeCell ref="A3:M3"/>
    <mergeCell ref="A4:M4"/>
  </mergeCells>
  <printOptions horizontalCentered="1"/>
  <pageMargins left="0.7" right="0.7" top="0.75" bottom="0.75" header="0.3" footer="0.3"/>
  <pageSetup orientation="landscape" r:id="rId1"/>
  <headerFooter>
    <oddHeader>&amp;R&amp;"Arial,Bold"Schedule MEB 4
Page 1 of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workbookViewId="0">
      <selection activeCell="P35" sqref="P35"/>
    </sheetView>
  </sheetViews>
  <sheetFormatPr defaultRowHeight="12.75" x14ac:dyDescent="0.2"/>
  <cols>
    <col min="1" max="1" width="5" bestFit="1" customWidth="1"/>
    <col min="2" max="2" width="1.42578125" customWidth="1"/>
    <col min="3" max="3" width="18.5703125" bestFit="1" customWidth="1"/>
    <col min="4" max="4" width="2.7109375" customWidth="1"/>
    <col min="5" max="5" width="8.42578125" customWidth="1"/>
    <col min="6" max="6" width="1" customWidth="1"/>
    <col min="7" max="7" width="3.85546875" customWidth="1"/>
    <col min="8" max="8" width="9.140625" customWidth="1"/>
    <col min="9" max="9" width="1" customWidth="1"/>
    <col min="10" max="10" width="3.85546875" customWidth="1"/>
    <col min="11" max="11" width="8.7109375" bestFit="1" customWidth="1"/>
    <col min="12" max="12" width="3.85546875" customWidth="1"/>
    <col min="13" max="13" width="8.7109375" bestFit="1" customWidth="1"/>
  </cols>
  <sheetData>
    <row r="1" spans="1:13" ht="18" x14ac:dyDescent="0.25">
      <c r="A1" s="351" t="s">
        <v>77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</row>
    <row r="2" spans="1:13" ht="18" x14ac:dyDescent="0.25">
      <c r="C2" s="28"/>
      <c r="D2" s="74"/>
      <c r="E2" s="28"/>
      <c r="F2" s="74"/>
      <c r="G2" s="28"/>
      <c r="H2" s="28"/>
      <c r="I2" s="74"/>
      <c r="J2" s="28"/>
      <c r="K2" s="28"/>
      <c r="L2" s="28"/>
      <c r="M2" s="28"/>
    </row>
    <row r="3" spans="1:13" ht="18" x14ac:dyDescent="0.25">
      <c r="A3" s="351" t="s">
        <v>95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</row>
    <row r="4" spans="1:13" ht="18" x14ac:dyDescent="0.25">
      <c r="A4" s="352" t="s">
        <v>110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</row>
    <row r="5" spans="1:13" ht="18" x14ac:dyDescent="0.25">
      <c r="A5" s="28"/>
      <c r="B5" s="74"/>
      <c r="C5" s="28"/>
      <c r="D5" s="74"/>
      <c r="E5" s="28"/>
      <c r="F5" s="74"/>
      <c r="G5" s="28"/>
      <c r="H5" s="28"/>
      <c r="I5" s="74"/>
      <c r="J5" s="28"/>
      <c r="K5" s="28"/>
      <c r="L5" s="28"/>
      <c r="M5" s="28"/>
    </row>
    <row r="7" spans="1:13" x14ac:dyDescent="0.2">
      <c r="E7" s="12"/>
      <c r="F7" s="12"/>
      <c r="G7" s="12"/>
      <c r="H7" s="12"/>
      <c r="I7" s="12"/>
      <c r="J7" s="12"/>
      <c r="K7" s="19" t="s">
        <v>111</v>
      </c>
      <c r="L7" s="12"/>
      <c r="M7" s="19"/>
    </row>
    <row r="8" spans="1:13" x14ac:dyDescent="0.2">
      <c r="E8" s="19" t="s">
        <v>0</v>
      </c>
      <c r="F8" s="19"/>
      <c r="G8" s="85"/>
      <c r="H8" s="81" t="s">
        <v>24</v>
      </c>
      <c r="I8" s="19"/>
      <c r="J8" s="22"/>
      <c r="K8" s="19" t="s">
        <v>112</v>
      </c>
      <c r="L8" s="22"/>
      <c r="M8" s="19" t="s">
        <v>2</v>
      </c>
    </row>
    <row r="9" spans="1:13" x14ac:dyDescent="0.2">
      <c r="A9" s="77" t="s">
        <v>7</v>
      </c>
      <c r="B9" s="23"/>
      <c r="C9" s="77" t="s">
        <v>23</v>
      </c>
      <c r="D9" s="23"/>
      <c r="E9" s="78" t="s">
        <v>9</v>
      </c>
      <c r="F9" s="78"/>
      <c r="G9" s="22"/>
      <c r="H9" s="83" t="s">
        <v>9</v>
      </c>
      <c r="I9" s="83"/>
      <c r="J9" s="70"/>
      <c r="K9" s="78" t="s">
        <v>9</v>
      </c>
      <c r="L9" s="22"/>
      <c r="M9" s="78" t="s">
        <v>9</v>
      </c>
    </row>
    <row r="10" spans="1:13" x14ac:dyDescent="0.2">
      <c r="C10" s="23"/>
      <c r="D10" s="23"/>
      <c r="E10" s="70" t="s">
        <v>88</v>
      </c>
      <c r="F10" s="70"/>
      <c r="G10" s="81"/>
      <c r="H10" s="84" t="s">
        <v>89</v>
      </c>
      <c r="I10" s="70"/>
      <c r="J10" s="70"/>
      <c r="K10" s="70" t="s">
        <v>90</v>
      </c>
      <c r="L10" s="19"/>
      <c r="M10" s="70" t="s">
        <v>104</v>
      </c>
    </row>
    <row r="12" spans="1:13" x14ac:dyDescent="0.2">
      <c r="A12" s="21">
        <v>1</v>
      </c>
      <c r="B12" s="21"/>
      <c r="C12" s="69" t="s">
        <v>22</v>
      </c>
      <c r="D12" s="69"/>
      <c r="E12" s="24">
        <f>'Distrib Class EPMC Rates Workp'!N499</f>
        <v>7617.1458412265565</v>
      </c>
      <c r="F12" s="24"/>
      <c r="H12" s="24">
        <f>'Distrib Class EPMC Rates Workp'!N505</f>
        <v>2762.9916302986385</v>
      </c>
      <c r="I12" s="24"/>
      <c r="J12" s="24"/>
      <c r="K12" s="24">
        <f>'Distrib Class EPMC Rates Workp'!N511</f>
        <v>1199.4888485474162</v>
      </c>
      <c r="M12" s="24">
        <f>E12+H12+K12</f>
        <v>11579.626320072612</v>
      </c>
    </row>
    <row r="13" spans="1:13" x14ac:dyDescent="0.2">
      <c r="A13" s="21"/>
      <c r="B13" s="21"/>
      <c r="C13" s="19"/>
      <c r="D13" s="19"/>
      <c r="E13" s="26"/>
      <c r="F13" s="26"/>
      <c r="H13" s="26"/>
      <c r="I13" s="26"/>
      <c r="J13" s="26"/>
      <c r="K13" s="26"/>
      <c r="M13" s="66"/>
    </row>
    <row r="14" spans="1:13" x14ac:dyDescent="0.2">
      <c r="A14" s="21">
        <v>2</v>
      </c>
      <c r="B14" s="21"/>
      <c r="C14" s="12" t="s">
        <v>52</v>
      </c>
      <c r="D14" s="12"/>
      <c r="E14" s="26">
        <f>'Distrib Class EPMC Rates Workp'!N500</f>
        <v>981.84298239018131</v>
      </c>
      <c r="F14" s="26"/>
      <c r="H14" s="26">
        <f>'Distrib Class EPMC Rates Workp'!N506</f>
        <v>1594.8589663288149</v>
      </c>
      <c r="I14" s="26"/>
      <c r="J14" s="26"/>
      <c r="K14" s="26">
        <f>'Distrib Class EPMC Rates Workp'!N512</f>
        <v>1791.6835185393577</v>
      </c>
      <c r="M14" s="24">
        <f>E14+H14+K14</f>
        <v>4368.3854672583539</v>
      </c>
    </row>
    <row r="15" spans="1:13" x14ac:dyDescent="0.2">
      <c r="A15" s="21"/>
      <c r="B15" s="21"/>
      <c r="C15" s="12"/>
      <c r="D15" s="12"/>
      <c r="E15" s="26"/>
      <c r="F15" s="26"/>
      <c r="H15" s="26"/>
      <c r="I15" s="26"/>
      <c r="J15" s="26"/>
      <c r="K15" s="26"/>
      <c r="M15" s="66"/>
    </row>
    <row r="16" spans="1:13" x14ac:dyDescent="0.2">
      <c r="A16" s="21">
        <v>3</v>
      </c>
      <c r="B16" s="21"/>
      <c r="C16" s="12" t="s">
        <v>24</v>
      </c>
      <c r="D16" s="12"/>
      <c r="E16" s="26">
        <f>'Distrib Class EPMC Rates Workp'!N501</f>
        <v>184.83646610197883</v>
      </c>
      <c r="F16" s="26"/>
      <c r="H16" s="26">
        <f>'Distrib Class EPMC Rates Workp'!N507</f>
        <v>7759.5024041993129</v>
      </c>
      <c r="I16" s="26"/>
      <c r="J16" s="26"/>
      <c r="K16" s="26">
        <f>'Distrib Class EPMC Rates Workp'!N513</f>
        <v>14951.31353320677</v>
      </c>
      <c r="M16" s="24">
        <f>E16+H16+K16</f>
        <v>22895.652403508062</v>
      </c>
    </row>
    <row r="17" spans="1:13" x14ac:dyDescent="0.2">
      <c r="A17" s="21"/>
      <c r="B17" s="21"/>
      <c r="C17" s="12"/>
      <c r="D17" s="12"/>
      <c r="E17" s="26"/>
      <c r="F17" s="26"/>
      <c r="H17" s="26"/>
      <c r="I17" s="26"/>
      <c r="J17" s="26"/>
      <c r="K17" s="26"/>
      <c r="M17" s="66"/>
    </row>
    <row r="18" spans="1:13" ht="13.5" thickBot="1" x14ac:dyDescent="0.25">
      <c r="A18" s="21">
        <v>4</v>
      </c>
      <c r="B18" s="21"/>
      <c r="C18" s="19" t="s">
        <v>2</v>
      </c>
      <c r="D18" s="19"/>
      <c r="E18" s="27">
        <f>SUM(E12:E16)</f>
        <v>8783.8252897187158</v>
      </c>
      <c r="F18" s="73"/>
      <c r="H18" s="27">
        <f>SUM(H12:H16)</f>
        <v>12117.353000826766</v>
      </c>
      <c r="I18" s="73"/>
      <c r="J18" s="73"/>
      <c r="K18" s="27">
        <f>SUM(K12:K16)</f>
        <v>17942.485900293545</v>
      </c>
      <c r="M18" s="27">
        <f>SUM(M12:M16)</f>
        <v>38843.66419083903</v>
      </c>
    </row>
    <row r="19" spans="1:13" ht="13.5" thickTop="1" x14ac:dyDescent="0.2"/>
  </sheetData>
  <mergeCells count="3">
    <mergeCell ref="A1:M1"/>
    <mergeCell ref="A3:M3"/>
    <mergeCell ref="A4:M4"/>
  </mergeCells>
  <printOptions horizontalCentered="1"/>
  <pageMargins left="0.7" right="0.7" top="0.75" bottom="0.75" header="0.3" footer="0.3"/>
  <pageSetup orientation="landscape" r:id="rId1"/>
  <headerFooter>
    <oddHeader>&amp;R&amp;"Arial,Bold"Schedule MEB 4
Page 2 of 3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workbookViewId="0">
      <selection activeCell="J29" sqref="J29"/>
    </sheetView>
  </sheetViews>
  <sheetFormatPr defaultRowHeight="12.75" x14ac:dyDescent="0.2"/>
  <cols>
    <col min="1" max="1" width="5" bestFit="1" customWidth="1"/>
    <col min="2" max="2" width="1.42578125" customWidth="1"/>
    <col min="3" max="3" width="21.140625" bestFit="1" customWidth="1"/>
    <col min="4" max="4" width="2.7109375" customWidth="1"/>
    <col min="5" max="5" width="12.28515625" customWidth="1"/>
    <col min="6" max="6" width="3.28515625" customWidth="1"/>
    <col min="7" max="7" width="13.42578125" customWidth="1"/>
    <col min="8" max="8" width="1.140625" customWidth="1"/>
    <col min="9" max="9" width="3.28515625" customWidth="1"/>
    <col min="10" max="10" width="10.85546875" customWidth="1"/>
    <col min="11" max="11" width="3.28515625" customWidth="1"/>
    <col min="12" max="12" width="11.42578125" customWidth="1"/>
  </cols>
  <sheetData>
    <row r="1" spans="1:12" ht="18" x14ac:dyDescent="0.25">
      <c r="A1" s="351" t="s">
        <v>92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</row>
    <row r="2" spans="1:12" ht="18" x14ac:dyDescent="0.25">
      <c r="C2" s="28"/>
      <c r="D2" s="74"/>
      <c r="E2" s="28"/>
      <c r="F2" s="28"/>
      <c r="G2" s="28"/>
      <c r="H2" s="74"/>
      <c r="I2" s="28"/>
      <c r="J2" s="28"/>
      <c r="K2" s="28"/>
      <c r="L2" s="28"/>
    </row>
    <row r="3" spans="1:12" ht="18" x14ac:dyDescent="0.25">
      <c r="A3" s="351" t="s">
        <v>95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</row>
    <row r="4" spans="1:12" ht="18" x14ac:dyDescent="0.25">
      <c r="A4" s="352" t="s">
        <v>110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</row>
    <row r="5" spans="1:12" ht="18" x14ac:dyDescent="0.25">
      <c r="A5" s="28"/>
      <c r="B5" s="74"/>
      <c r="C5" s="28"/>
      <c r="D5" s="74"/>
      <c r="E5" s="28"/>
      <c r="F5" s="28"/>
      <c r="G5" s="28"/>
      <c r="H5" s="74"/>
      <c r="I5" s="28"/>
      <c r="J5" s="28"/>
      <c r="K5" s="28"/>
      <c r="L5" s="28"/>
    </row>
    <row r="7" spans="1:12" x14ac:dyDescent="0.2">
      <c r="E7" s="12"/>
      <c r="F7" s="12"/>
      <c r="G7" s="12"/>
      <c r="H7" s="12"/>
      <c r="I7" s="12"/>
      <c r="J7" s="19" t="s">
        <v>111</v>
      </c>
      <c r="K7" s="12"/>
      <c r="L7" s="19"/>
    </row>
    <row r="8" spans="1:12" x14ac:dyDescent="0.2">
      <c r="D8" s="23"/>
      <c r="E8" s="19" t="s">
        <v>0</v>
      </c>
      <c r="F8" s="22"/>
      <c r="G8" s="81" t="s">
        <v>24</v>
      </c>
      <c r="H8" s="81"/>
      <c r="I8" s="22"/>
      <c r="J8" s="19" t="s">
        <v>112</v>
      </c>
      <c r="K8" s="22"/>
      <c r="L8" s="19" t="s">
        <v>2</v>
      </c>
    </row>
    <row r="9" spans="1:12" x14ac:dyDescent="0.2">
      <c r="A9" s="77" t="s">
        <v>7</v>
      </c>
      <c r="B9" s="23"/>
      <c r="C9" s="77" t="s">
        <v>23</v>
      </c>
      <c r="D9" s="23"/>
      <c r="E9" s="78" t="s">
        <v>9</v>
      </c>
      <c r="F9" s="22"/>
      <c r="G9" s="83" t="s">
        <v>9</v>
      </c>
      <c r="H9" s="83"/>
      <c r="I9" s="70"/>
      <c r="J9" s="78" t="s">
        <v>9</v>
      </c>
      <c r="K9" s="22"/>
      <c r="L9" s="78" t="s">
        <v>9</v>
      </c>
    </row>
    <row r="10" spans="1:12" x14ac:dyDescent="0.2">
      <c r="C10" s="23"/>
      <c r="D10" s="23"/>
      <c r="E10" s="70" t="s">
        <v>88</v>
      </c>
      <c r="F10" s="19"/>
      <c r="G10" s="84" t="s">
        <v>89</v>
      </c>
      <c r="H10" s="84"/>
      <c r="I10" s="70"/>
      <c r="J10" s="70" t="s">
        <v>90</v>
      </c>
      <c r="K10" s="19"/>
      <c r="L10" s="70" t="s">
        <v>104</v>
      </c>
    </row>
    <row r="12" spans="1:12" x14ac:dyDescent="0.2">
      <c r="A12" s="21">
        <v>1</v>
      </c>
      <c r="B12" s="21"/>
      <c r="C12" s="69" t="s">
        <v>21</v>
      </c>
      <c r="D12" s="69"/>
      <c r="E12" s="24">
        <f>'Sch MEB 4 pg 1'!E12</f>
        <v>403095.12019950419</v>
      </c>
      <c r="G12" s="24">
        <f>'Sch MEB 4 pg 1'!G12</f>
        <v>162694.76456824719</v>
      </c>
      <c r="H12" s="24"/>
      <c r="I12" s="24"/>
      <c r="J12" s="24">
        <f>'Sch MEB 4 pg 1'!J12</f>
        <v>140362.19526282919</v>
      </c>
      <c r="L12" s="24">
        <f>E12+G12+J12</f>
        <v>706152.08003058063</v>
      </c>
    </row>
    <row r="13" spans="1:12" x14ac:dyDescent="0.2">
      <c r="A13" s="21"/>
      <c r="B13" s="21"/>
      <c r="C13" s="69"/>
      <c r="D13" s="69"/>
      <c r="E13" s="24"/>
      <c r="G13" s="24"/>
      <c r="H13" s="24"/>
      <c r="I13" s="24"/>
      <c r="J13" s="24"/>
      <c r="L13" s="66"/>
    </row>
    <row r="14" spans="1:12" x14ac:dyDescent="0.2">
      <c r="A14" s="21">
        <v>2</v>
      </c>
      <c r="B14" s="21"/>
      <c r="C14" s="69" t="s">
        <v>22</v>
      </c>
      <c r="D14" s="69"/>
      <c r="E14" s="25">
        <f>'Sch MEB 4 pg 1'!E14+'Sch MEB 4 pg 2'!E12</f>
        <v>95825.232831733563</v>
      </c>
      <c r="G14" s="25">
        <f>'Sch MEB 4 pg 1'!G14+'Sch MEB 4 pg 2'!H12</f>
        <v>23644.696473652984</v>
      </c>
      <c r="H14" s="71"/>
      <c r="I14" s="71"/>
      <c r="J14" s="25">
        <f>'Sch MEB 4 pg 1'!J14+'Sch MEB 4 pg 2'!K12</f>
        <v>24462.401887062097</v>
      </c>
      <c r="L14" s="25">
        <f>E14+G14+J14</f>
        <v>143932.33119244865</v>
      </c>
    </row>
    <row r="15" spans="1:12" x14ac:dyDescent="0.2">
      <c r="A15" s="21"/>
      <c r="B15" s="21"/>
      <c r="C15" s="69"/>
      <c r="D15" s="69"/>
      <c r="E15" s="71"/>
      <c r="G15" s="71"/>
      <c r="H15" s="71"/>
      <c r="I15" s="71"/>
      <c r="J15" s="71"/>
      <c r="L15" s="72"/>
    </row>
    <row r="16" spans="1:12" x14ac:dyDescent="0.2">
      <c r="A16" s="21">
        <v>3</v>
      </c>
      <c r="B16" s="21"/>
      <c r="C16" s="19" t="s">
        <v>91</v>
      </c>
      <c r="D16" s="19"/>
      <c r="E16" s="26">
        <f>E12+E14</f>
        <v>498920.35303123773</v>
      </c>
      <c r="G16" s="26">
        <f>G12+G14</f>
        <v>186339.46104190018</v>
      </c>
      <c r="H16" s="26"/>
      <c r="I16" s="26"/>
      <c r="J16" s="26">
        <f>J12+J14</f>
        <v>164824.59714989128</v>
      </c>
      <c r="L16" s="26">
        <f>L12+L14</f>
        <v>850084.41122302925</v>
      </c>
    </row>
    <row r="17" spans="1:12" x14ac:dyDescent="0.2">
      <c r="A17" s="21"/>
      <c r="B17" s="21"/>
      <c r="C17" s="19"/>
      <c r="D17" s="19"/>
      <c r="E17" s="26"/>
      <c r="G17" s="26"/>
      <c r="H17" s="26"/>
      <c r="I17" s="26"/>
      <c r="J17" s="26"/>
      <c r="L17" s="66"/>
    </row>
    <row r="18" spans="1:12" x14ac:dyDescent="0.2">
      <c r="A18" s="21">
        <v>4</v>
      </c>
      <c r="B18" s="21"/>
      <c r="C18" s="12" t="s">
        <v>53</v>
      </c>
      <c r="D18" s="12"/>
      <c r="E18" s="26">
        <f>'Sch MEB 4 pg 1'!E18</f>
        <v>2540.9173597456875</v>
      </c>
      <c r="G18" s="26">
        <f>'Sch MEB 4 pg 1'!G18</f>
        <v>2980.7159322302041</v>
      </c>
      <c r="H18" s="26"/>
      <c r="I18" s="26"/>
      <c r="J18" s="26">
        <f>'Sch MEB 4 pg 1'!J18</f>
        <v>4546.4186761256387</v>
      </c>
      <c r="L18" s="24">
        <f>E18+G18+J18</f>
        <v>10068.05196810153</v>
      </c>
    </row>
    <row r="19" spans="1:12" x14ac:dyDescent="0.2">
      <c r="A19" s="21"/>
      <c r="B19" s="21"/>
      <c r="C19" s="12"/>
      <c r="D19" s="12"/>
      <c r="E19" s="26"/>
      <c r="G19" s="26"/>
      <c r="H19" s="26"/>
      <c r="I19" s="26"/>
      <c r="J19" s="26"/>
      <c r="L19" s="66"/>
    </row>
    <row r="20" spans="1:12" x14ac:dyDescent="0.2">
      <c r="A20" s="21">
        <v>5</v>
      </c>
      <c r="B20" s="21"/>
      <c r="C20" s="12" t="s">
        <v>52</v>
      </c>
      <c r="D20" s="12"/>
      <c r="E20" s="26">
        <f>'Sch MEB 4 pg 1'!E20+'Sch MEB 4 pg 2'!E14</f>
        <v>12087.016641684877</v>
      </c>
      <c r="G20" s="26">
        <f>'Sch MEB 4 pg 1'!G20+'Sch MEB 4 pg 2'!H14</f>
        <v>16557.561495592017</v>
      </c>
      <c r="H20" s="26"/>
      <c r="I20" s="26"/>
      <c r="J20" s="26">
        <f>'Sch MEB 4 pg 1'!J20+'Sch MEB 4 pg 2'!K14</f>
        <v>22424.872319576556</v>
      </c>
      <c r="L20" s="24">
        <f>E20+G20+J20</f>
        <v>51069.450456853447</v>
      </c>
    </row>
    <row r="21" spans="1:12" x14ac:dyDescent="0.2">
      <c r="A21" s="21"/>
      <c r="B21" s="21"/>
      <c r="C21" s="12"/>
      <c r="D21" s="12"/>
      <c r="E21" s="26"/>
      <c r="G21" s="26"/>
      <c r="H21" s="26"/>
      <c r="I21" s="26"/>
      <c r="J21" s="26"/>
      <c r="L21" s="66"/>
    </row>
    <row r="22" spans="1:12" x14ac:dyDescent="0.2">
      <c r="A22" s="21">
        <v>6</v>
      </c>
      <c r="B22" s="21"/>
      <c r="C22" s="12" t="s">
        <v>24</v>
      </c>
      <c r="D22" s="12"/>
      <c r="E22" s="26">
        <f>'Sch MEB 4 pg 1'!E22+'Sch MEB 4 pg 2'!E16</f>
        <v>588.15629815586647</v>
      </c>
      <c r="G22" s="26">
        <f>'Sch MEB 4 pg 1'!G22+'Sch MEB 4 pg 2'!H16</f>
        <v>15559.853358937524</v>
      </c>
      <c r="H22" s="26"/>
      <c r="I22" s="26"/>
      <c r="J22" s="26">
        <f>'Sch MEB 4 pg 1'!J22+'Sch MEB 4 pg 2'!K16</f>
        <v>18442.132968979906</v>
      </c>
      <c r="L22" s="24">
        <f>E22+G22+J22</f>
        <v>34590.142626073299</v>
      </c>
    </row>
    <row r="23" spans="1:12" x14ac:dyDescent="0.2">
      <c r="A23" s="21"/>
      <c r="B23" s="21"/>
      <c r="C23" s="12"/>
      <c r="D23" s="12"/>
      <c r="E23" s="26"/>
      <c r="G23" s="26"/>
      <c r="H23" s="26"/>
      <c r="I23" s="26"/>
      <c r="J23" s="26"/>
      <c r="L23" s="66"/>
    </row>
    <row r="24" spans="1:12" ht="13.5" thickBot="1" x14ac:dyDescent="0.25">
      <c r="A24" s="21">
        <v>7</v>
      </c>
      <c r="B24" s="21"/>
      <c r="C24" s="19" t="s">
        <v>2</v>
      </c>
      <c r="D24" s="19"/>
      <c r="E24" s="27">
        <f>SUM(E16:E22)</f>
        <v>514136.44333082414</v>
      </c>
      <c r="G24" s="27">
        <f>SUM(G16:G22)</f>
        <v>221437.5918286599</v>
      </c>
      <c r="H24" s="73"/>
      <c r="I24" s="73"/>
      <c r="J24" s="27">
        <f>SUM(J16:J22)</f>
        <v>210238.02111457341</v>
      </c>
      <c r="L24" s="27">
        <f>SUM(L16:L22)</f>
        <v>945812.0562740576</v>
      </c>
    </row>
    <row r="25" spans="1:12" ht="13.5" thickTop="1" x14ac:dyDescent="0.2"/>
  </sheetData>
  <mergeCells count="3">
    <mergeCell ref="A1:L1"/>
    <mergeCell ref="A3:L3"/>
    <mergeCell ref="A4:L4"/>
  </mergeCells>
  <printOptions horizontalCentered="1"/>
  <pageMargins left="0.7" right="0.7" top="0.75" bottom="0.75" header="0.3" footer="0.3"/>
  <pageSetup orientation="landscape" r:id="rId1"/>
  <headerFooter>
    <oddHeader>&amp;R&amp;"Arial,Bold"Schedule MEB 4
Page 3 of 3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workbookViewId="0">
      <selection activeCell="L35" sqref="L35"/>
    </sheetView>
  </sheetViews>
  <sheetFormatPr defaultRowHeight="12.75" x14ac:dyDescent="0.2"/>
  <cols>
    <col min="1" max="1" width="5" bestFit="1" customWidth="1"/>
    <col min="2" max="2" width="3.140625" customWidth="1"/>
    <col min="3" max="3" width="21.140625" bestFit="1" customWidth="1"/>
    <col min="4" max="4" width="3.140625" customWidth="1"/>
    <col min="5" max="5" width="9.7109375" bestFit="1" customWidth="1"/>
    <col min="6" max="6" width="1.28515625" customWidth="1"/>
    <col min="7" max="7" width="3.140625" customWidth="1"/>
    <col min="8" max="8" width="11.28515625" bestFit="1" customWidth="1"/>
    <col min="9" max="9" width="3.28515625" customWidth="1"/>
    <col min="10" max="10" width="25.140625" customWidth="1"/>
  </cols>
  <sheetData>
    <row r="1" spans="1:10" ht="18" x14ac:dyDescent="0.25">
      <c r="A1" s="351" t="s">
        <v>70</v>
      </c>
      <c r="B1" s="351"/>
      <c r="C1" s="351"/>
      <c r="D1" s="351"/>
      <c r="E1" s="351"/>
      <c r="F1" s="351"/>
      <c r="G1" s="351"/>
      <c r="H1" s="351"/>
      <c r="I1" s="351"/>
      <c r="J1" s="351"/>
    </row>
    <row r="2" spans="1:10" ht="18" x14ac:dyDescent="0.25">
      <c r="C2" s="28"/>
      <c r="D2" s="74"/>
      <c r="E2" s="28"/>
      <c r="F2" s="74"/>
      <c r="G2" s="28"/>
      <c r="H2" s="28"/>
      <c r="I2" s="28"/>
      <c r="J2" s="28"/>
    </row>
    <row r="3" spans="1:10" ht="18" x14ac:dyDescent="0.25">
      <c r="A3" s="351" t="s">
        <v>69</v>
      </c>
      <c r="B3" s="351"/>
      <c r="C3" s="351"/>
      <c r="D3" s="351"/>
      <c r="E3" s="351"/>
      <c r="F3" s="351"/>
      <c r="G3" s="351"/>
      <c r="H3" s="351"/>
      <c r="I3" s="351"/>
      <c r="J3" s="351"/>
    </row>
    <row r="4" spans="1:10" ht="18" x14ac:dyDescent="0.25">
      <c r="A4" s="352" t="s">
        <v>237</v>
      </c>
      <c r="B4" s="352"/>
      <c r="C4" s="352"/>
      <c r="D4" s="352"/>
      <c r="E4" s="352"/>
      <c r="F4" s="352"/>
      <c r="G4" s="352"/>
      <c r="H4" s="352"/>
      <c r="I4" s="352"/>
      <c r="J4" s="352"/>
    </row>
    <row r="5" spans="1:10" ht="18" x14ac:dyDescent="0.25">
      <c r="A5" s="28"/>
      <c r="B5" s="74"/>
      <c r="C5" s="28"/>
      <c r="D5" s="74"/>
      <c r="E5" s="28"/>
      <c r="F5" s="74"/>
      <c r="G5" s="28"/>
      <c r="H5" s="28"/>
      <c r="I5" s="28"/>
      <c r="J5" s="28"/>
    </row>
    <row r="7" spans="1:10" x14ac:dyDescent="0.2">
      <c r="E7" s="81" t="s">
        <v>4</v>
      </c>
      <c r="F7" s="81"/>
      <c r="G7" s="12"/>
      <c r="H7" s="19" t="s">
        <v>106</v>
      </c>
      <c r="I7" s="12"/>
    </row>
    <row r="8" spans="1:10" x14ac:dyDescent="0.2">
      <c r="B8" s="23"/>
      <c r="D8" s="23"/>
      <c r="E8" s="82" t="s">
        <v>109</v>
      </c>
      <c r="F8" s="82"/>
      <c r="G8" s="22"/>
      <c r="H8" s="79" t="s">
        <v>4</v>
      </c>
      <c r="I8" s="22"/>
      <c r="J8" s="19" t="s">
        <v>107</v>
      </c>
    </row>
    <row r="9" spans="1:10" x14ac:dyDescent="0.2">
      <c r="A9" s="77" t="s">
        <v>7</v>
      </c>
      <c r="B9" s="23"/>
      <c r="C9" s="77" t="s">
        <v>23</v>
      </c>
      <c r="D9" s="23"/>
      <c r="E9" s="83" t="s">
        <v>9</v>
      </c>
      <c r="F9" s="83"/>
      <c r="G9" s="22"/>
      <c r="H9" s="78" t="s">
        <v>9</v>
      </c>
      <c r="I9" s="22"/>
      <c r="J9" s="77" t="s">
        <v>108</v>
      </c>
    </row>
    <row r="10" spans="1:10" x14ac:dyDescent="0.2">
      <c r="C10" s="23"/>
      <c r="D10" s="23"/>
      <c r="E10" s="84" t="s">
        <v>88</v>
      </c>
      <c r="F10" s="84"/>
      <c r="G10" s="19"/>
      <c r="H10" s="70" t="s">
        <v>89</v>
      </c>
      <c r="I10" s="19"/>
      <c r="J10" s="70" t="s">
        <v>90</v>
      </c>
    </row>
    <row r="11" spans="1:10" x14ac:dyDescent="0.2">
      <c r="H11" s="13"/>
    </row>
    <row r="12" spans="1:10" x14ac:dyDescent="0.2">
      <c r="A12" s="21">
        <v>1</v>
      </c>
      <c r="B12" s="21"/>
      <c r="C12" s="69" t="s">
        <v>21</v>
      </c>
      <c r="D12" s="69"/>
      <c r="E12" s="24">
        <f>'Distrib Class EPMC Rates Workp'!N302</f>
        <v>706152.08003058063</v>
      </c>
      <c r="F12" s="24"/>
      <c r="H12" s="86">
        <f>'AL-TOU Summary'!F15/1000</f>
        <v>803841.81900889846</v>
      </c>
      <c r="J12" s="66">
        <f>H12/E12</f>
        <v>1.1383409349641613</v>
      </c>
    </row>
    <row r="13" spans="1:10" x14ac:dyDescent="0.2">
      <c r="A13" s="21"/>
      <c r="B13" s="21"/>
      <c r="C13" s="69"/>
      <c r="D13" s="69"/>
      <c r="E13" s="24"/>
      <c r="F13" s="24"/>
      <c r="H13" s="86"/>
      <c r="J13" s="66"/>
    </row>
    <row r="14" spans="1:10" x14ac:dyDescent="0.2">
      <c r="A14" s="21">
        <v>2</v>
      </c>
      <c r="B14" s="21"/>
      <c r="C14" s="69" t="s">
        <v>22</v>
      </c>
      <c r="D14" s="69"/>
      <c r="E14" s="25">
        <f>'Distrib Class EPMC Rates Workp'!N303</f>
        <v>132352.70487237602</v>
      </c>
      <c r="F14" s="71"/>
      <c r="H14" s="87">
        <f>'AL-TOU Summary'!F16/1000</f>
        <v>113814.4523191086</v>
      </c>
      <c r="J14" s="67">
        <f>H14/E14</f>
        <v>0.85993295285394178</v>
      </c>
    </row>
    <row r="15" spans="1:10" x14ac:dyDescent="0.2">
      <c r="A15" s="21"/>
      <c r="B15" s="21"/>
      <c r="C15" s="69"/>
      <c r="D15" s="69"/>
      <c r="E15" s="71"/>
      <c r="F15" s="71"/>
      <c r="H15" s="88"/>
      <c r="J15" s="72"/>
    </row>
    <row r="16" spans="1:10" x14ac:dyDescent="0.2">
      <c r="A16" s="21">
        <v>3</v>
      </c>
      <c r="B16" s="21"/>
      <c r="C16" s="19" t="s">
        <v>91</v>
      </c>
      <c r="D16" s="19"/>
      <c r="E16" s="26">
        <f>E12+E14</f>
        <v>838504.78490295669</v>
      </c>
      <c r="F16" s="26"/>
      <c r="H16" s="89">
        <f>H12+H14</f>
        <v>917656.2713280071</v>
      </c>
      <c r="J16" s="66">
        <f>H16/E16</f>
        <v>1.0943959865824868</v>
      </c>
    </row>
    <row r="17" spans="1:10" x14ac:dyDescent="0.2">
      <c r="A17" s="21"/>
      <c r="B17" s="21"/>
      <c r="C17" s="19"/>
      <c r="D17" s="19"/>
      <c r="E17" s="26"/>
      <c r="F17" s="26"/>
      <c r="H17" s="89"/>
      <c r="J17" s="66"/>
    </row>
    <row r="18" spans="1:10" x14ac:dyDescent="0.2">
      <c r="A18" s="21">
        <v>4</v>
      </c>
      <c r="B18" s="21"/>
      <c r="C18" s="12" t="s">
        <v>53</v>
      </c>
      <c r="D18" s="12"/>
      <c r="E18" s="26">
        <f>'Distrib Class EPMC Rates Workp'!N304</f>
        <v>10068.05196810153</v>
      </c>
      <c r="F18" s="26"/>
      <c r="H18" s="89">
        <f>'AL-TOU Summary'!F17/1000</f>
        <v>14273.171847182955</v>
      </c>
      <c r="J18" s="66">
        <f>H18/E18</f>
        <v>1.4176696636454051</v>
      </c>
    </row>
    <row r="19" spans="1:10" x14ac:dyDescent="0.2">
      <c r="A19" s="21"/>
      <c r="B19" s="21"/>
      <c r="C19" s="12"/>
      <c r="D19" s="12"/>
      <c r="E19" s="26"/>
      <c r="F19" s="26"/>
      <c r="H19" s="89"/>
      <c r="J19" s="66"/>
    </row>
    <row r="20" spans="1:10" x14ac:dyDescent="0.2">
      <c r="A20" s="21">
        <v>5</v>
      </c>
      <c r="B20" s="21"/>
      <c r="C20" s="12" t="s">
        <v>52</v>
      </c>
      <c r="D20" s="12"/>
      <c r="E20" s="26">
        <f>'Distrib Class EPMC Rates Workp'!N305</f>
        <v>46701.064989595099</v>
      </c>
      <c r="F20" s="26"/>
      <c r="H20" s="89">
        <f>'AL-TOU Summary'!F18/1000</f>
        <v>59446.030629633351</v>
      </c>
      <c r="J20" s="66">
        <f>H20/E20</f>
        <v>1.2729052462267789</v>
      </c>
    </row>
    <row r="21" spans="1:10" x14ac:dyDescent="0.2">
      <c r="A21" s="21"/>
      <c r="B21" s="21"/>
      <c r="C21" s="12"/>
      <c r="D21" s="12"/>
      <c r="E21" s="26"/>
      <c r="F21" s="26"/>
      <c r="H21" s="89"/>
      <c r="J21" s="66"/>
    </row>
    <row r="22" spans="1:10" x14ac:dyDescent="0.2">
      <c r="A22" s="21">
        <v>6</v>
      </c>
      <c r="B22" s="21"/>
      <c r="C22" s="12" t="s">
        <v>24</v>
      </c>
      <c r="D22" s="12"/>
      <c r="E22" s="26">
        <f>'Distrib Class EPMC Rates Workp'!N306</f>
        <v>11694.490222565233</v>
      </c>
      <c r="F22" s="26"/>
      <c r="H22" s="89">
        <f>'AL-TOU Summary'!F19/1000</f>
        <v>13092.593868939835</v>
      </c>
      <c r="J22" s="66">
        <f>H22/E22</f>
        <v>1.1195523378759065</v>
      </c>
    </row>
    <row r="23" spans="1:10" x14ac:dyDescent="0.2">
      <c r="A23" s="21"/>
      <c r="B23" s="21"/>
      <c r="C23" s="12"/>
      <c r="D23" s="12"/>
      <c r="E23" s="26"/>
      <c r="F23" s="26"/>
      <c r="H23" s="89"/>
      <c r="J23" s="66"/>
    </row>
    <row r="24" spans="1:10" ht="13.5" thickBot="1" x14ac:dyDescent="0.25">
      <c r="A24" s="21">
        <v>7</v>
      </c>
      <c r="B24" s="21"/>
      <c r="C24" s="19" t="s">
        <v>2</v>
      </c>
      <c r="D24" s="19"/>
      <c r="E24" s="27">
        <f>SUM(E16:E22)</f>
        <v>906968.39208321855</v>
      </c>
      <c r="F24" s="73"/>
      <c r="H24" s="90">
        <f>SUM(H16:H22)</f>
        <v>1004468.0676737631</v>
      </c>
      <c r="J24" s="68">
        <f>H24/E24</f>
        <v>1.1075006322619438</v>
      </c>
    </row>
    <row r="25" spans="1:10" ht="13.5" thickTop="1" x14ac:dyDescent="0.2">
      <c r="H25" s="13"/>
    </row>
    <row r="26" spans="1:10" x14ac:dyDescent="0.2">
      <c r="H26" s="13"/>
    </row>
  </sheetData>
  <mergeCells count="3">
    <mergeCell ref="A4:J4"/>
    <mergeCell ref="A3:J3"/>
    <mergeCell ref="A1:J1"/>
  </mergeCells>
  <printOptions horizontalCentered="1"/>
  <pageMargins left="0.7" right="0.7" top="0.75" bottom="0.75" header="0.3" footer="0.3"/>
  <pageSetup orientation="landscape" r:id="rId1"/>
  <headerFooter>
    <oddHeader>&amp;R&amp;"Arial,Bold"Schedule MEB 5
Page 1 of 3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workbookViewId="0">
      <selection activeCell="N31" sqref="N31"/>
    </sheetView>
  </sheetViews>
  <sheetFormatPr defaultRowHeight="12.75" x14ac:dyDescent="0.2"/>
  <cols>
    <col min="1" max="1" width="5" bestFit="1" customWidth="1"/>
    <col min="2" max="2" width="3.140625" customWidth="1"/>
    <col min="3" max="3" width="18.5703125" bestFit="1" customWidth="1"/>
    <col min="4" max="4" width="3.140625" customWidth="1"/>
    <col min="5" max="5" width="8.7109375" bestFit="1" customWidth="1"/>
    <col min="6" max="6" width="1.28515625" customWidth="1"/>
    <col min="7" max="7" width="3.140625" customWidth="1"/>
    <col min="8" max="8" width="9.5703125" bestFit="1" customWidth="1"/>
    <col min="9" max="9" width="3.28515625" customWidth="1"/>
    <col min="10" max="10" width="25.140625" customWidth="1"/>
  </cols>
  <sheetData>
    <row r="1" spans="1:10" ht="18" x14ac:dyDescent="0.25">
      <c r="A1" s="351" t="s">
        <v>77</v>
      </c>
      <c r="B1" s="351"/>
      <c r="C1" s="351"/>
      <c r="D1" s="351"/>
      <c r="E1" s="351"/>
      <c r="F1" s="351"/>
      <c r="G1" s="351"/>
      <c r="H1" s="351"/>
      <c r="I1" s="351"/>
      <c r="J1" s="351"/>
    </row>
    <row r="2" spans="1:10" ht="18" x14ac:dyDescent="0.25">
      <c r="C2" s="28"/>
      <c r="D2" s="74"/>
      <c r="E2" s="28"/>
      <c r="F2" s="74"/>
      <c r="G2" s="28"/>
      <c r="H2" s="28"/>
      <c r="I2" s="28"/>
      <c r="J2" s="28"/>
    </row>
    <row r="3" spans="1:10" ht="18" x14ac:dyDescent="0.25">
      <c r="A3" s="351" t="s">
        <v>69</v>
      </c>
      <c r="B3" s="351"/>
      <c r="C3" s="351"/>
      <c r="D3" s="351"/>
      <c r="E3" s="351"/>
      <c r="F3" s="351"/>
      <c r="G3" s="351"/>
      <c r="H3" s="351"/>
      <c r="I3" s="351"/>
      <c r="J3" s="351"/>
    </row>
    <row r="4" spans="1:10" ht="18" x14ac:dyDescent="0.25">
      <c r="A4" s="352" t="s">
        <v>237</v>
      </c>
      <c r="B4" s="352"/>
      <c r="C4" s="352"/>
      <c r="D4" s="352"/>
      <c r="E4" s="352"/>
      <c r="F4" s="352"/>
      <c r="G4" s="352"/>
      <c r="H4" s="352"/>
      <c r="I4" s="352"/>
      <c r="J4" s="352"/>
    </row>
    <row r="5" spans="1:10" ht="18" x14ac:dyDescent="0.25">
      <c r="A5" s="28"/>
      <c r="B5" s="74"/>
      <c r="C5" s="28"/>
      <c r="D5" s="74"/>
      <c r="E5" s="28"/>
      <c r="F5" s="74"/>
      <c r="G5" s="28"/>
      <c r="H5" s="28"/>
      <c r="I5" s="28"/>
      <c r="J5" s="28"/>
    </row>
    <row r="7" spans="1:10" x14ac:dyDescent="0.2">
      <c r="E7" s="81" t="s">
        <v>4</v>
      </c>
      <c r="F7" s="81"/>
      <c r="G7" s="12"/>
      <c r="H7" s="19" t="s">
        <v>106</v>
      </c>
      <c r="I7" s="12"/>
    </row>
    <row r="8" spans="1:10" x14ac:dyDescent="0.2">
      <c r="B8" s="23"/>
      <c r="D8" s="23"/>
      <c r="E8" s="81" t="s">
        <v>109</v>
      </c>
      <c r="F8" s="85"/>
      <c r="G8" s="22"/>
      <c r="H8" s="79" t="s">
        <v>4</v>
      </c>
      <c r="I8" s="22"/>
      <c r="J8" s="19" t="s">
        <v>107</v>
      </c>
    </row>
    <row r="9" spans="1:10" x14ac:dyDescent="0.2">
      <c r="A9" s="77" t="s">
        <v>7</v>
      </c>
      <c r="B9" s="23"/>
      <c r="C9" s="77" t="s">
        <v>23</v>
      </c>
      <c r="D9" s="23"/>
      <c r="E9" s="83" t="s">
        <v>9</v>
      </c>
      <c r="F9" s="83"/>
      <c r="G9" s="22"/>
      <c r="H9" s="78" t="s">
        <v>9</v>
      </c>
      <c r="I9" s="22"/>
      <c r="J9" s="77" t="s">
        <v>108</v>
      </c>
    </row>
    <row r="10" spans="1:10" x14ac:dyDescent="0.2">
      <c r="C10" s="23"/>
      <c r="D10" s="23"/>
      <c r="E10" s="84" t="s">
        <v>88</v>
      </c>
      <c r="F10" s="84"/>
      <c r="G10" s="19"/>
      <c r="H10" s="70" t="s">
        <v>89</v>
      </c>
      <c r="I10" s="19"/>
      <c r="J10" s="70" t="s">
        <v>90</v>
      </c>
    </row>
    <row r="12" spans="1:10" x14ac:dyDescent="0.2">
      <c r="A12" s="21">
        <v>1</v>
      </c>
      <c r="B12" s="21"/>
      <c r="C12" s="69" t="s">
        <v>22</v>
      </c>
      <c r="D12" s="69"/>
      <c r="E12" s="71">
        <f>'Distrib Class EPMC Rates Workp'!N517</f>
        <v>11579.626320072612</v>
      </c>
      <c r="F12" s="71"/>
      <c r="G12" s="5"/>
      <c r="H12" s="71">
        <f>'A6-TOU Summary'!F13/1000</f>
        <v>7128.3935484435169</v>
      </c>
      <c r="I12" s="5"/>
      <c r="J12" s="72">
        <f t="shared" ref="J12:J16" si="0">H12/E12</f>
        <v>0.61559789162512601</v>
      </c>
    </row>
    <row r="13" spans="1:10" x14ac:dyDescent="0.2">
      <c r="A13" s="21"/>
      <c r="B13" s="21"/>
      <c r="C13" s="69"/>
      <c r="D13" s="69"/>
      <c r="E13" s="71"/>
      <c r="F13" s="71"/>
      <c r="G13" s="5"/>
      <c r="H13" s="71"/>
      <c r="I13" s="5"/>
      <c r="J13" s="72"/>
    </row>
    <row r="14" spans="1:10" x14ac:dyDescent="0.2">
      <c r="A14" s="21">
        <v>2</v>
      </c>
      <c r="B14" s="21"/>
      <c r="C14" s="12" t="s">
        <v>52</v>
      </c>
      <c r="D14" s="12"/>
      <c r="E14" s="71">
        <f>'Distrib Class EPMC Rates Workp'!N518</f>
        <v>4368.3854672583539</v>
      </c>
      <c r="F14" s="71"/>
      <c r="H14" s="71">
        <f>'A6-TOU Summary'!F14/1000</f>
        <v>4802.9297674110248</v>
      </c>
      <c r="J14" s="66">
        <f t="shared" si="0"/>
        <v>1.09947480674717</v>
      </c>
    </row>
    <row r="15" spans="1:10" x14ac:dyDescent="0.2">
      <c r="A15" s="21"/>
      <c r="B15" s="21"/>
      <c r="C15" s="12"/>
      <c r="D15" s="12"/>
      <c r="E15" s="71"/>
      <c r="F15" s="71"/>
      <c r="H15" s="71"/>
      <c r="J15" s="66"/>
    </row>
    <row r="16" spans="1:10" x14ac:dyDescent="0.2">
      <c r="A16" s="21">
        <v>3</v>
      </c>
      <c r="B16" s="21"/>
      <c r="C16" s="12" t="s">
        <v>24</v>
      </c>
      <c r="D16" s="12"/>
      <c r="E16" s="71">
        <f>'Distrib Class EPMC Rates Workp'!N519</f>
        <v>22895.652403508062</v>
      </c>
      <c r="F16" s="71"/>
      <c r="H16" s="71">
        <f>'A6-TOU Summary'!F15/1000</f>
        <v>25693.702202520897</v>
      </c>
      <c r="J16" s="66">
        <f t="shared" si="0"/>
        <v>1.1222087822482891</v>
      </c>
    </row>
    <row r="17" spans="1:10" x14ac:dyDescent="0.2">
      <c r="A17" s="21"/>
      <c r="B17" s="21"/>
      <c r="C17" s="12"/>
      <c r="D17" s="12"/>
      <c r="E17" s="71"/>
      <c r="F17" s="71"/>
      <c r="H17" s="71"/>
      <c r="J17" s="66"/>
    </row>
    <row r="18" spans="1:10" ht="13.5" thickBot="1" x14ac:dyDescent="0.25">
      <c r="A18" s="21">
        <v>4</v>
      </c>
      <c r="B18" s="21"/>
      <c r="C18" s="19" t="s">
        <v>2</v>
      </c>
      <c r="D18" s="19"/>
      <c r="E18" s="27">
        <f>SUM(E12:E16)</f>
        <v>38843.66419083903</v>
      </c>
      <c r="F18" s="73"/>
      <c r="H18" s="27">
        <f>SUM(H12:H16)</f>
        <v>37625.025518375434</v>
      </c>
      <c r="J18" s="68">
        <f>H18/E18</f>
        <v>0.96862709278721959</v>
      </c>
    </row>
    <row r="19" spans="1:10" ht="13.5" thickTop="1" x14ac:dyDescent="0.2"/>
    <row r="20" spans="1:10" x14ac:dyDescent="0.2">
      <c r="H20" s="26"/>
    </row>
  </sheetData>
  <mergeCells count="3">
    <mergeCell ref="A1:J1"/>
    <mergeCell ref="A3:J3"/>
    <mergeCell ref="A4:J4"/>
  </mergeCells>
  <printOptions horizontalCentered="1"/>
  <pageMargins left="0.7" right="0.7" top="0.75" bottom="0.75" header="0.3" footer="0.3"/>
  <pageSetup orientation="landscape" r:id="rId1"/>
  <headerFooter>
    <oddHeader>&amp;R&amp;"Arial,Bold"Schedule MEB 5
Page 2 of 3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workbookViewId="0">
      <selection activeCell="N36" sqref="N36"/>
    </sheetView>
  </sheetViews>
  <sheetFormatPr defaultRowHeight="12.75" x14ac:dyDescent="0.2"/>
  <cols>
    <col min="1" max="1" width="5" bestFit="1" customWidth="1"/>
    <col min="2" max="2" width="3.140625" customWidth="1"/>
    <col min="3" max="3" width="21.140625" bestFit="1" customWidth="1"/>
    <col min="4" max="4" width="3.140625" customWidth="1"/>
    <col min="5" max="5" width="10.28515625" customWidth="1"/>
    <col min="6" max="6" width="0.42578125" customWidth="1"/>
    <col min="7" max="7" width="3.140625" customWidth="1"/>
    <col min="8" max="8" width="11.28515625" bestFit="1" customWidth="1"/>
    <col min="9" max="9" width="3.28515625" customWidth="1"/>
    <col min="10" max="10" width="25.140625" customWidth="1"/>
  </cols>
  <sheetData>
    <row r="1" spans="1:10" ht="18" x14ac:dyDescent="0.25">
      <c r="A1" s="351" t="s">
        <v>92</v>
      </c>
      <c r="B1" s="351"/>
      <c r="C1" s="351"/>
      <c r="D1" s="351"/>
      <c r="E1" s="351"/>
      <c r="F1" s="351"/>
      <c r="G1" s="351"/>
      <c r="H1" s="351"/>
      <c r="I1" s="351"/>
      <c r="J1" s="351"/>
    </row>
    <row r="2" spans="1:10" ht="18" x14ac:dyDescent="0.25">
      <c r="C2" s="28"/>
      <c r="D2" s="74"/>
      <c r="E2" s="28"/>
      <c r="F2" s="74"/>
      <c r="G2" s="28"/>
      <c r="H2" s="28"/>
      <c r="I2" s="28"/>
      <c r="J2" s="28"/>
    </row>
    <row r="3" spans="1:10" ht="18" x14ac:dyDescent="0.25">
      <c r="A3" s="351" t="s">
        <v>69</v>
      </c>
      <c r="B3" s="351"/>
      <c r="C3" s="351"/>
      <c r="D3" s="351"/>
      <c r="E3" s="351"/>
      <c r="F3" s="351"/>
      <c r="G3" s="351"/>
      <c r="H3" s="351"/>
      <c r="I3" s="351"/>
      <c r="J3" s="351"/>
    </row>
    <row r="4" spans="1:10" ht="18" x14ac:dyDescent="0.25">
      <c r="A4" s="352" t="s">
        <v>237</v>
      </c>
      <c r="B4" s="352"/>
      <c r="C4" s="352"/>
      <c r="D4" s="352"/>
      <c r="E4" s="352"/>
      <c r="F4" s="352"/>
      <c r="G4" s="352"/>
      <c r="H4" s="352"/>
      <c r="I4" s="352"/>
      <c r="J4" s="352"/>
    </row>
    <row r="7" spans="1:10" x14ac:dyDescent="0.2">
      <c r="E7" s="81" t="s">
        <v>4</v>
      </c>
      <c r="F7" s="81"/>
      <c r="G7" s="12"/>
      <c r="H7" s="19" t="s">
        <v>106</v>
      </c>
      <c r="I7" s="12"/>
    </row>
    <row r="8" spans="1:10" x14ac:dyDescent="0.2">
      <c r="E8" s="81" t="s">
        <v>109</v>
      </c>
      <c r="F8" s="85"/>
      <c r="G8" s="22"/>
      <c r="H8" s="19" t="s">
        <v>4</v>
      </c>
      <c r="I8" s="22"/>
      <c r="J8" s="19" t="s">
        <v>107</v>
      </c>
    </row>
    <row r="9" spans="1:10" x14ac:dyDescent="0.2">
      <c r="A9" s="77" t="s">
        <v>7</v>
      </c>
      <c r="B9" s="23"/>
      <c r="C9" s="77" t="s">
        <v>23</v>
      </c>
      <c r="D9" s="23"/>
      <c r="E9" s="83" t="s">
        <v>9</v>
      </c>
      <c r="F9" s="83"/>
      <c r="G9" s="22"/>
      <c r="H9" s="78" t="s">
        <v>9</v>
      </c>
      <c r="I9" s="22"/>
      <c r="J9" s="77" t="s">
        <v>108</v>
      </c>
    </row>
    <row r="10" spans="1:10" x14ac:dyDescent="0.2">
      <c r="C10" s="23"/>
      <c r="D10" s="23"/>
      <c r="E10" s="84" t="s">
        <v>88</v>
      </c>
      <c r="F10" s="84"/>
      <c r="G10" s="19"/>
      <c r="H10" s="70" t="s">
        <v>89</v>
      </c>
      <c r="I10" s="19"/>
      <c r="J10" s="70" t="s">
        <v>90</v>
      </c>
    </row>
    <row r="12" spans="1:10" x14ac:dyDescent="0.2">
      <c r="A12" s="21">
        <v>1</v>
      </c>
      <c r="B12" s="21"/>
      <c r="C12" s="69" t="s">
        <v>21</v>
      </c>
      <c r="D12" s="69"/>
      <c r="E12" s="24">
        <f>'Sch MEB 5 pg 1'!E12</f>
        <v>706152.08003058063</v>
      </c>
      <c r="F12" s="24"/>
      <c r="H12" s="24">
        <f>'Sch MEB 5 pg 1'!H12</f>
        <v>803841.81900889846</v>
      </c>
      <c r="J12" s="66">
        <f>H12/E12</f>
        <v>1.1383409349641613</v>
      </c>
    </row>
    <row r="13" spans="1:10" x14ac:dyDescent="0.2">
      <c r="A13" s="21"/>
      <c r="B13" s="21"/>
      <c r="C13" s="69"/>
      <c r="D13" s="69"/>
      <c r="E13" s="24"/>
      <c r="F13" s="24"/>
      <c r="H13" s="24"/>
      <c r="J13" s="66"/>
    </row>
    <row r="14" spans="1:10" x14ac:dyDescent="0.2">
      <c r="A14" s="21">
        <v>2</v>
      </c>
      <c r="B14" s="21"/>
      <c r="C14" s="69" t="s">
        <v>22</v>
      </c>
      <c r="D14" s="69"/>
      <c r="E14" s="25">
        <f>'Sch MEB 5 pg 1'!E14+'Sch MEB 5 pg 2'!E12</f>
        <v>143932.33119244865</v>
      </c>
      <c r="F14" s="71"/>
      <c r="H14" s="25">
        <f>'Sch MEB 5 pg 1'!H14+'Sch MEB 5 pg 2'!H12</f>
        <v>120942.84586755213</v>
      </c>
      <c r="J14" s="67">
        <f t="shared" ref="J14:J24" si="0">H14/E14</f>
        <v>0.84027573836653968</v>
      </c>
    </row>
    <row r="15" spans="1:10" x14ac:dyDescent="0.2">
      <c r="A15" s="21"/>
      <c r="B15" s="21"/>
      <c r="C15" s="69"/>
      <c r="D15" s="69"/>
      <c r="E15" s="71"/>
      <c r="F15" s="71"/>
      <c r="H15" s="71"/>
      <c r="J15" s="72"/>
    </row>
    <row r="16" spans="1:10" x14ac:dyDescent="0.2">
      <c r="A16" s="21">
        <v>3</v>
      </c>
      <c r="B16" s="21"/>
      <c r="C16" s="19" t="s">
        <v>91</v>
      </c>
      <c r="D16" s="19"/>
      <c r="E16" s="26">
        <f>E12+E14</f>
        <v>850084.41122302925</v>
      </c>
      <c r="F16" s="26"/>
      <c r="H16" s="26">
        <f>H12+H14</f>
        <v>924784.66487645055</v>
      </c>
      <c r="J16" s="66">
        <f>H16/E16</f>
        <v>1.0878739248328868</v>
      </c>
    </row>
    <row r="17" spans="1:10" x14ac:dyDescent="0.2">
      <c r="A17" s="21"/>
      <c r="B17" s="21"/>
      <c r="C17" s="19"/>
      <c r="D17" s="19"/>
      <c r="E17" s="26"/>
      <c r="F17" s="26"/>
      <c r="H17" s="26"/>
      <c r="J17" s="66"/>
    </row>
    <row r="18" spans="1:10" x14ac:dyDescent="0.2">
      <c r="A18" s="21">
        <v>4</v>
      </c>
      <c r="B18" s="21"/>
      <c r="C18" s="12" t="s">
        <v>53</v>
      </c>
      <c r="D18" s="12"/>
      <c r="E18" s="26">
        <f>'Sch MEB 5 pg 1'!E18</f>
        <v>10068.05196810153</v>
      </c>
      <c r="F18" s="26"/>
      <c r="H18" s="26">
        <f>'Sch MEB 5 pg 1'!H18</f>
        <v>14273.171847182955</v>
      </c>
      <c r="J18" s="66">
        <f t="shared" si="0"/>
        <v>1.4176696636454051</v>
      </c>
    </row>
    <row r="19" spans="1:10" x14ac:dyDescent="0.2">
      <c r="A19" s="21"/>
      <c r="B19" s="21"/>
      <c r="C19" s="12"/>
      <c r="D19" s="12"/>
      <c r="E19" s="26"/>
      <c r="F19" s="26"/>
      <c r="H19" s="26"/>
      <c r="J19" s="66"/>
    </row>
    <row r="20" spans="1:10" x14ac:dyDescent="0.2">
      <c r="A20" s="21">
        <v>5</v>
      </c>
      <c r="B20" s="21"/>
      <c r="C20" s="12" t="s">
        <v>52</v>
      </c>
      <c r="D20" s="12"/>
      <c r="E20" s="26">
        <f>'Sch MEB 5 pg 1'!E20+'Sch MEB 5 pg 2'!E14</f>
        <v>51069.450456853454</v>
      </c>
      <c r="F20" s="26"/>
      <c r="H20" s="26">
        <f>'Sch MEB 5 pg 1'!H20+'Sch MEB 5 pg 2'!H14</f>
        <v>64248.960397044379</v>
      </c>
      <c r="J20" s="66">
        <f t="shared" si="0"/>
        <v>1.2580703301541452</v>
      </c>
    </row>
    <row r="21" spans="1:10" x14ac:dyDescent="0.2">
      <c r="A21" s="21"/>
      <c r="B21" s="21"/>
      <c r="C21" s="12"/>
      <c r="D21" s="12"/>
      <c r="E21" s="26"/>
      <c r="F21" s="26"/>
      <c r="H21" s="26"/>
      <c r="J21" s="66"/>
    </row>
    <row r="22" spans="1:10" x14ac:dyDescent="0.2">
      <c r="A22" s="21">
        <v>6</v>
      </c>
      <c r="B22" s="21"/>
      <c r="C22" s="12" t="s">
        <v>24</v>
      </c>
      <c r="D22" s="12"/>
      <c r="E22" s="26">
        <f>'Sch MEB 5 pg 1'!E22+'Sch MEB 5 pg 2'!E16</f>
        <v>34590.142626073299</v>
      </c>
      <c r="F22" s="26"/>
      <c r="H22" s="26">
        <f>'Sch MEB 5 pg 1'!H22+'Sch MEB 5 pg 2'!H16</f>
        <v>38786.296071460732</v>
      </c>
      <c r="J22" s="66">
        <f t="shared" si="0"/>
        <v>1.1213106719665407</v>
      </c>
    </row>
    <row r="23" spans="1:10" x14ac:dyDescent="0.2">
      <c r="A23" s="21"/>
      <c r="B23" s="21"/>
      <c r="C23" s="12"/>
      <c r="D23" s="12"/>
      <c r="E23" s="26"/>
      <c r="F23" s="26"/>
      <c r="H23" s="26"/>
      <c r="J23" s="66"/>
    </row>
    <row r="24" spans="1:10" ht="13.5" thickBot="1" x14ac:dyDescent="0.25">
      <c r="A24" s="21">
        <v>7</v>
      </c>
      <c r="B24" s="21"/>
      <c r="C24" s="19" t="s">
        <v>2</v>
      </c>
      <c r="D24" s="19"/>
      <c r="E24" s="27">
        <f>SUM(E16:E22)</f>
        <v>945812.0562740576</v>
      </c>
      <c r="F24" s="73"/>
      <c r="H24" s="27">
        <f>SUM(H16:H22)</f>
        <v>1042093.0931921386</v>
      </c>
      <c r="J24" s="68">
        <f t="shared" si="0"/>
        <v>1.1017972188865635</v>
      </c>
    </row>
    <row r="25" spans="1:10" ht="13.5" thickTop="1" x14ac:dyDescent="0.2"/>
  </sheetData>
  <mergeCells count="3">
    <mergeCell ref="A1:J1"/>
    <mergeCell ref="A3:J3"/>
    <mergeCell ref="A4:J4"/>
  </mergeCells>
  <printOptions horizontalCentered="1"/>
  <pageMargins left="0.7" right="0.7" top="0.75" bottom="0.75" header="0.3" footer="0.3"/>
  <pageSetup orientation="landscape" r:id="rId1"/>
  <headerFooter>
    <oddHeader>&amp;R&amp;"Arial,Bold"Schedule MEB 5
Page 3 of 3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6"/>
  <sheetViews>
    <sheetView zoomScaleNormal="100" workbookViewId="0">
      <selection activeCell="E50" sqref="E50"/>
    </sheetView>
  </sheetViews>
  <sheetFormatPr defaultRowHeight="14.25" x14ac:dyDescent="0.2"/>
  <cols>
    <col min="1" max="1" width="3.85546875" style="162" customWidth="1"/>
    <col min="2" max="2" width="20.28515625" style="162" customWidth="1"/>
    <col min="3" max="3" width="15.42578125" style="162" customWidth="1"/>
    <col min="4" max="4" width="13.7109375" style="162" bestFit="1" customWidth="1"/>
    <col min="5" max="5" width="13.85546875" style="162" customWidth="1"/>
    <col min="6" max="6" width="12.7109375" style="162" customWidth="1"/>
    <col min="7" max="7" width="13.5703125" style="162" customWidth="1"/>
    <col min="8" max="8" width="12.5703125" style="162" customWidth="1"/>
    <col min="9" max="9" width="13.140625" style="162" customWidth="1"/>
    <col min="10" max="10" width="13.5703125" style="162" customWidth="1"/>
    <col min="11" max="11" width="13" style="162" customWidth="1"/>
    <col min="12" max="12" width="12.7109375" style="162" customWidth="1"/>
    <col min="13" max="16384" width="9.140625" style="162"/>
  </cols>
  <sheetData>
    <row r="1" spans="2:10" ht="23.25" x14ac:dyDescent="0.35">
      <c r="B1" s="342" t="s">
        <v>252</v>
      </c>
      <c r="C1" s="342"/>
      <c r="D1" s="342"/>
      <c r="E1" s="342"/>
      <c r="F1" s="342"/>
      <c r="G1" s="342"/>
      <c r="H1" s="342"/>
      <c r="I1" s="342"/>
      <c r="J1" s="342"/>
    </row>
    <row r="4" spans="2:10" ht="18" x14ac:dyDescent="0.25">
      <c r="B4" s="343" t="s">
        <v>253</v>
      </c>
      <c r="C4" s="343"/>
      <c r="D4" s="343"/>
      <c r="E4" s="343"/>
      <c r="F4" s="343"/>
      <c r="G4" s="343"/>
      <c r="H4" s="343"/>
      <c r="I4" s="343"/>
      <c r="J4" s="343"/>
    </row>
    <row r="5" spans="2:10" ht="18" x14ac:dyDescent="0.25">
      <c r="B5" s="344"/>
      <c r="C5" s="353"/>
      <c r="D5" s="353"/>
      <c r="E5" s="353"/>
      <c r="F5" s="353"/>
      <c r="G5" s="353"/>
      <c r="H5" s="353"/>
      <c r="I5" s="353"/>
      <c r="J5" s="353"/>
    </row>
    <row r="6" spans="2:10" ht="18" x14ac:dyDescent="0.25">
      <c r="B6" s="163"/>
      <c r="C6" s="164"/>
      <c r="D6" s="164"/>
      <c r="E6" s="164"/>
      <c r="F6" s="164"/>
      <c r="G6" s="164"/>
      <c r="H6" s="164"/>
      <c r="I6" s="164"/>
      <c r="J6" s="164"/>
    </row>
    <row r="7" spans="2:10" ht="18.75" thickBot="1" x14ac:dyDescent="0.3">
      <c r="B7" s="165"/>
      <c r="C7" s="164"/>
      <c r="D7" s="164"/>
      <c r="E7" s="164"/>
      <c r="F7" s="164"/>
      <c r="G7" s="164"/>
      <c r="H7" s="164"/>
      <c r="I7" s="164"/>
      <c r="J7" s="164"/>
    </row>
    <row r="8" spans="2:10" ht="15.75" thickBot="1" x14ac:dyDescent="0.3">
      <c r="C8" s="348" t="s">
        <v>0</v>
      </c>
      <c r="D8" s="349"/>
      <c r="E8" s="348" t="s">
        <v>254</v>
      </c>
      <c r="F8" s="349"/>
      <c r="G8" s="348" t="s">
        <v>255</v>
      </c>
      <c r="H8" s="349"/>
      <c r="I8" s="348" t="s">
        <v>256</v>
      </c>
      <c r="J8" s="349"/>
    </row>
    <row r="9" spans="2:10" ht="30.75" thickBot="1" x14ac:dyDescent="0.25">
      <c r="B9" s="166"/>
      <c r="C9" s="175" t="s">
        <v>257</v>
      </c>
      <c r="D9" s="176" t="s">
        <v>258</v>
      </c>
      <c r="E9" s="175" t="s">
        <v>257</v>
      </c>
      <c r="F9" s="176" t="s">
        <v>258</v>
      </c>
      <c r="G9" s="175" t="s">
        <v>257</v>
      </c>
      <c r="H9" s="176" t="s">
        <v>258</v>
      </c>
      <c r="I9" s="175" t="s">
        <v>257</v>
      </c>
      <c r="J9" s="176" t="s">
        <v>258</v>
      </c>
    </row>
    <row r="10" spans="2:10" ht="15" thickBot="1" x14ac:dyDescent="0.25">
      <c r="B10" s="167"/>
      <c r="C10" s="168"/>
      <c r="D10" s="168"/>
      <c r="E10" s="168"/>
      <c r="F10" s="168"/>
      <c r="G10" s="168"/>
      <c r="H10" s="168"/>
      <c r="I10" s="168"/>
      <c r="J10" s="168"/>
    </row>
    <row r="11" spans="2:10" ht="15" thickBot="1" x14ac:dyDescent="0.25">
      <c r="B11" s="169" t="s">
        <v>183</v>
      </c>
      <c r="C11" s="170">
        <v>0.51400000000000001</v>
      </c>
      <c r="D11" s="170">
        <v>0.44201041524940143</v>
      </c>
      <c r="E11" s="170">
        <v>0.44289813257507515</v>
      </c>
      <c r="F11" s="170">
        <v>0.42829762764116119</v>
      </c>
      <c r="G11" s="170">
        <v>0.432</v>
      </c>
      <c r="H11" s="170">
        <v>0.38553229361370073</v>
      </c>
      <c r="I11" s="170">
        <v>0.43099999999999999</v>
      </c>
      <c r="J11" s="170">
        <v>0.41758550488958696</v>
      </c>
    </row>
    <row r="12" spans="2:10" ht="15" thickBot="1" x14ac:dyDescent="0.25">
      <c r="B12" s="169" t="s">
        <v>189</v>
      </c>
      <c r="C12" s="170">
        <v>0.14499999999999999</v>
      </c>
      <c r="D12" s="170">
        <v>0.15684571044034368</v>
      </c>
      <c r="E12" s="170">
        <v>0.13666338855531654</v>
      </c>
      <c r="F12" s="170">
        <v>0.13202604990934458</v>
      </c>
      <c r="G12" s="170">
        <v>0.11899999999999999</v>
      </c>
      <c r="H12" s="170">
        <v>0.12492754860927764</v>
      </c>
      <c r="I12" s="170">
        <v>0.105</v>
      </c>
      <c r="J12" s="170">
        <v>0.10826782975990763</v>
      </c>
    </row>
    <row r="13" spans="2:10" ht="15" thickBot="1" x14ac:dyDescent="0.25">
      <c r="B13" s="169" t="s">
        <v>127</v>
      </c>
      <c r="C13" s="170">
        <v>0.309</v>
      </c>
      <c r="D13" s="170">
        <v>0.36767103480977176</v>
      </c>
      <c r="E13" s="170">
        <v>0.37728877938138528</v>
      </c>
      <c r="F13" s="170">
        <v>0.40330917347537121</v>
      </c>
      <c r="G13" s="170">
        <v>0.41599999999999998</v>
      </c>
      <c r="H13" s="170">
        <v>0.45873441156800937</v>
      </c>
      <c r="I13" s="170">
        <v>0.45</v>
      </c>
      <c r="J13" s="170">
        <v>0.46145420742217486</v>
      </c>
    </row>
    <row r="14" spans="2:10" ht="15" thickBot="1" x14ac:dyDescent="0.25">
      <c r="B14" s="169" t="s">
        <v>202</v>
      </c>
      <c r="C14" s="170">
        <v>1.2E-2</v>
      </c>
      <c r="D14" s="170">
        <v>1.3039265835848853E-2</v>
      </c>
      <c r="E14" s="170">
        <v>1.8850901560821191E-2</v>
      </c>
      <c r="F14" s="170">
        <v>1.4951208047804129E-2</v>
      </c>
      <c r="G14" s="170">
        <v>1.0999999999999999E-2</v>
      </c>
      <c r="H14" s="170">
        <v>1.0587361609700894E-2</v>
      </c>
      <c r="I14" s="170">
        <v>1.0999999999999999E-2</v>
      </c>
      <c r="J14" s="170">
        <v>9.0131670581601424E-3</v>
      </c>
    </row>
    <row r="15" spans="2:10" ht="15" thickBot="1" x14ac:dyDescent="0.25">
      <c r="B15" s="169" t="s">
        <v>259</v>
      </c>
      <c r="C15" s="170">
        <v>6.0000000000000001E-3</v>
      </c>
      <c r="D15" s="170">
        <v>6.4335736646342241E-3</v>
      </c>
      <c r="E15" s="170">
        <v>6.1300662826320115E-3</v>
      </c>
      <c r="F15" s="170">
        <v>3.6684349892851446E-3</v>
      </c>
      <c r="G15" s="170">
        <v>2E-3</v>
      </c>
      <c r="H15" s="170">
        <v>3.1246657597469899E-4</v>
      </c>
      <c r="I15" s="170">
        <v>3.0000000000000001E-3</v>
      </c>
      <c r="J15" s="170">
        <v>3.6792908701705658E-3</v>
      </c>
    </row>
    <row r="16" spans="2:10" ht="15" thickBot="1" x14ac:dyDescent="0.25">
      <c r="B16" s="169" t="s">
        <v>260</v>
      </c>
      <c r="C16" s="170">
        <v>1.4E-2</v>
      </c>
      <c r="D16" s="170">
        <v>1.3999999999999992E-2</v>
      </c>
      <c r="E16" s="170">
        <v>1.8168731644769603E-2</v>
      </c>
      <c r="F16" s="170">
        <v>1.774750593703333E-2</v>
      </c>
      <c r="G16" s="170">
        <v>0.02</v>
      </c>
      <c r="H16" s="170">
        <v>1.9905918023336723E-2</v>
      </c>
      <c r="I16" s="171" t="s">
        <v>261</v>
      </c>
      <c r="J16" s="171" t="s">
        <v>261</v>
      </c>
    </row>
    <row r="19" spans="2:12" ht="18" x14ac:dyDescent="0.25">
      <c r="B19" s="343" t="s">
        <v>253</v>
      </c>
      <c r="C19" s="343"/>
      <c r="D19" s="343"/>
      <c r="E19" s="343"/>
      <c r="F19" s="343"/>
      <c r="G19" s="343"/>
      <c r="H19" s="343"/>
      <c r="I19" s="343"/>
      <c r="J19" s="343"/>
    </row>
    <row r="20" spans="2:12" ht="18" x14ac:dyDescent="0.25">
      <c r="B20" s="344" t="s">
        <v>9</v>
      </c>
      <c r="C20" s="353"/>
      <c r="D20" s="353"/>
      <c r="E20" s="353"/>
      <c r="F20" s="353"/>
      <c r="G20" s="353"/>
      <c r="H20" s="353"/>
      <c r="I20" s="353"/>
      <c r="J20" s="353"/>
    </row>
    <row r="22" spans="2:12" ht="18.75" thickBot="1" x14ac:dyDescent="0.3">
      <c r="B22" s="165"/>
      <c r="C22" s="164"/>
      <c r="D22" s="164"/>
      <c r="E22" s="164"/>
      <c r="F22" s="164"/>
      <c r="G22" s="164"/>
      <c r="H22" s="164"/>
      <c r="I22" s="164"/>
      <c r="J22" s="164"/>
    </row>
    <row r="23" spans="2:12" ht="15.75" thickBot="1" x14ac:dyDescent="0.3">
      <c r="C23" s="348" t="s">
        <v>0</v>
      </c>
      <c r="D23" s="349"/>
      <c r="E23" s="348" t="s">
        <v>254</v>
      </c>
      <c r="F23" s="349"/>
      <c r="G23" s="348" t="s">
        <v>255</v>
      </c>
      <c r="H23" s="349"/>
      <c r="I23" s="348" t="s">
        <v>256</v>
      </c>
      <c r="J23" s="349"/>
      <c r="K23" s="345" t="s">
        <v>2</v>
      </c>
      <c r="L23" s="347"/>
    </row>
    <row r="24" spans="2:12" ht="30.75" thickBot="1" x14ac:dyDescent="0.25">
      <c r="B24" s="166"/>
      <c r="C24" s="175" t="s">
        <v>257</v>
      </c>
      <c r="D24" s="176" t="s">
        <v>258</v>
      </c>
      <c r="E24" s="175" t="s">
        <v>257</v>
      </c>
      <c r="F24" s="176" t="s">
        <v>258</v>
      </c>
      <c r="G24" s="175" t="s">
        <v>257</v>
      </c>
      <c r="H24" s="176" t="s">
        <v>258</v>
      </c>
      <c r="I24" s="175" t="s">
        <v>257</v>
      </c>
      <c r="J24" s="176" t="s">
        <v>258</v>
      </c>
      <c r="K24" s="175" t="s">
        <v>257</v>
      </c>
      <c r="L24" s="176" t="s">
        <v>258</v>
      </c>
    </row>
    <row r="25" spans="2:12" ht="15" thickBot="1" x14ac:dyDescent="0.25">
      <c r="B25" s="167"/>
      <c r="C25" s="168"/>
      <c r="D25" s="168"/>
      <c r="E25" s="168"/>
      <c r="F25" s="168"/>
      <c r="G25" s="168"/>
      <c r="H25" s="168"/>
      <c r="I25" s="168"/>
      <c r="J25" s="168"/>
      <c r="K25" s="168"/>
      <c r="L25" s="168"/>
    </row>
    <row r="26" spans="2:12" ht="15" thickBot="1" x14ac:dyDescent="0.25">
      <c r="B26" s="169" t="s">
        <v>183</v>
      </c>
      <c r="C26" s="172">
        <f>C11*$C$32</f>
        <v>816648.64650198817</v>
      </c>
      <c r="D26" s="174">
        <f>D11*$D$32</f>
        <v>702270.83142646973</v>
      </c>
      <c r="E26" s="174">
        <f>E11*$E$32</f>
        <v>624168.12736262602</v>
      </c>
      <c r="F26" s="174">
        <f>F11*$F$32</f>
        <v>603591.90643759177</v>
      </c>
      <c r="G26" s="174">
        <f>G11*$G$32</f>
        <v>6922.7441394141733</v>
      </c>
      <c r="H26" s="174">
        <f>H11*$H$32</f>
        <v>6178.1051531693311</v>
      </c>
      <c r="I26" s="174">
        <f>I11*$I$32</f>
        <v>77628.821093999999</v>
      </c>
      <c r="J26" s="174">
        <f>J11*$J$32</f>
        <v>75212.692460606515</v>
      </c>
      <c r="K26" s="174">
        <f>C26+E26+G26+I26</f>
        <v>1525368.3390980286</v>
      </c>
      <c r="L26" s="174">
        <f>D26+F26+H26+J26</f>
        <v>1387253.5354778373</v>
      </c>
    </row>
    <row r="27" spans="2:12" ht="15" thickBot="1" x14ac:dyDescent="0.25">
      <c r="B27" s="169" t="s">
        <v>189</v>
      </c>
      <c r="C27" s="172">
        <f t="shared" ref="C27:C31" si="0">C12*$C$32</f>
        <v>230377.53646456861</v>
      </c>
      <c r="D27" s="174">
        <f t="shared" ref="D27:D31" si="1">D12*$D$32</f>
        <v>249198.12673297551</v>
      </c>
      <c r="E27" s="174">
        <f t="shared" ref="E27:E31" si="2">E12*$E$32</f>
        <v>192597.1798924747</v>
      </c>
      <c r="F27" s="174">
        <f t="shared" ref="F27:F31" si="3">F12*$F$32</f>
        <v>186061.86451019091</v>
      </c>
      <c r="G27" s="174">
        <f t="shared" ref="G27:G31" si="4">G12*$G$32</f>
        <v>1906.9596124775153</v>
      </c>
      <c r="H27" s="174">
        <f t="shared" ref="H27:H31" si="5">H12*$H$32</f>
        <v>2001.9478124681852</v>
      </c>
      <c r="I27" s="174">
        <f t="shared" ref="I27:I30" si="6">I12*$I$32</f>
        <v>18911.893769999999</v>
      </c>
      <c r="J27" s="174">
        <f t="shared" ref="J27:J30" si="7">J12*$J$32</f>
        <v>19500.473286931599</v>
      </c>
      <c r="K27" s="174">
        <f t="shared" ref="K27:K30" si="8">C27+E27+G27+I27</f>
        <v>443793.56973952084</v>
      </c>
      <c r="L27" s="174">
        <f t="shared" ref="L27:L30" si="9">D27+F27+H27+J27</f>
        <v>456762.41234256612</v>
      </c>
    </row>
    <row r="28" spans="2:12" ht="15" thickBot="1" x14ac:dyDescent="0.25">
      <c r="B28" s="169" t="s">
        <v>127</v>
      </c>
      <c r="C28" s="172">
        <f t="shared" si="0"/>
        <v>490942.47425897728</v>
      </c>
      <c r="D28" s="174">
        <f t="shared" si="1"/>
        <v>584159.63606106117</v>
      </c>
      <c r="E28" s="174">
        <f t="shared" si="2"/>
        <v>531706.08223662421</v>
      </c>
      <c r="F28" s="174">
        <f t="shared" si="3"/>
        <v>568376.1412419593</v>
      </c>
      <c r="G28" s="174">
        <f t="shared" si="4"/>
        <v>6666.3462083247587</v>
      </c>
      <c r="H28" s="174">
        <f t="shared" si="5"/>
        <v>7351.1596278473289</v>
      </c>
      <c r="I28" s="174">
        <f t="shared" si="6"/>
        <v>81050.973299999998</v>
      </c>
      <c r="J28" s="174">
        <f t="shared" si="7"/>
        <v>83114.028099883013</v>
      </c>
      <c r="K28" s="174">
        <f t="shared" si="8"/>
        <v>1110365.8760039264</v>
      </c>
      <c r="L28" s="174">
        <f t="shared" si="9"/>
        <v>1243000.965030751</v>
      </c>
    </row>
    <row r="29" spans="2:12" ht="15" thickBot="1" x14ac:dyDescent="0.25">
      <c r="B29" s="169" t="s">
        <v>202</v>
      </c>
      <c r="C29" s="172">
        <f t="shared" si="0"/>
        <v>19065.727155688441</v>
      </c>
      <c r="D29" s="174">
        <f t="shared" si="1"/>
        <v>20716.923728065332</v>
      </c>
      <c r="E29" s="174">
        <f t="shared" si="2"/>
        <v>26566.226093356814</v>
      </c>
      <c r="F29" s="174">
        <f t="shared" si="3"/>
        <v>21070.460321764978</v>
      </c>
      <c r="G29" s="174">
        <f t="shared" si="4"/>
        <v>176.27357762397199</v>
      </c>
      <c r="H29" s="174">
        <f t="shared" si="5"/>
        <v>169.66110077642469</v>
      </c>
      <c r="I29" s="174">
        <f t="shared" si="6"/>
        <v>1981.2460139999998</v>
      </c>
      <c r="J29" s="174">
        <f>J14*$J$32</f>
        <v>1623.3910279541717</v>
      </c>
      <c r="K29" s="174">
        <f t="shared" si="8"/>
        <v>47789.472840669223</v>
      </c>
      <c r="L29" s="174">
        <f t="shared" si="9"/>
        <v>43580.436178560907</v>
      </c>
    </row>
    <row r="30" spans="2:12" ht="15" thickBot="1" x14ac:dyDescent="0.25">
      <c r="B30" s="169" t="s">
        <v>259</v>
      </c>
      <c r="C30" s="172">
        <f t="shared" si="0"/>
        <v>9532.8635778442203</v>
      </c>
      <c r="D30" s="174">
        <f t="shared" si="1"/>
        <v>10221.730010494892</v>
      </c>
      <c r="E30" s="174">
        <f t="shared" si="2"/>
        <v>8638.9887669951349</v>
      </c>
      <c r="F30" s="174">
        <f t="shared" si="3"/>
        <v>5169.857421391398</v>
      </c>
      <c r="G30" s="174">
        <f t="shared" si="4"/>
        <v>32.049741386176727</v>
      </c>
      <c r="H30" s="174">
        <f t="shared" si="5"/>
        <v>5.0072364759066224</v>
      </c>
      <c r="I30" s="174">
        <f t="shared" si="6"/>
        <v>540.33982200000003</v>
      </c>
      <c r="J30" s="174">
        <f t="shared" si="7"/>
        <v>662.68912462472952</v>
      </c>
      <c r="K30" s="174">
        <f t="shared" si="8"/>
        <v>18744.241908225533</v>
      </c>
      <c r="L30" s="174">
        <f t="shared" si="9"/>
        <v>16059.283792986926</v>
      </c>
    </row>
    <row r="31" spans="2:12" ht="15" thickBot="1" x14ac:dyDescent="0.25">
      <c r="B31" s="169" t="s">
        <v>260</v>
      </c>
      <c r="C31" s="172">
        <f t="shared" si="0"/>
        <v>22243.348348303178</v>
      </c>
      <c r="D31" s="174">
        <f t="shared" si="1"/>
        <v>22243.348348303163</v>
      </c>
      <c r="E31" s="174">
        <f t="shared" si="2"/>
        <v>25604.85667739328</v>
      </c>
      <c r="F31" s="174">
        <f t="shared" si="3"/>
        <v>25011.231096571533</v>
      </c>
      <c r="G31" s="174">
        <f t="shared" si="4"/>
        <v>320.49741386176726</v>
      </c>
      <c r="H31" s="174">
        <f t="shared" si="5"/>
        <v>318.98976235118812</v>
      </c>
      <c r="I31" s="174" t="s">
        <v>261</v>
      </c>
      <c r="J31" s="174" t="s">
        <v>261</v>
      </c>
      <c r="K31" s="174">
        <f>C31+E31+G31</f>
        <v>48168.702439558227</v>
      </c>
      <c r="L31" s="174">
        <f>D31+F31+H31</f>
        <v>47573.569207225883</v>
      </c>
    </row>
    <row r="32" spans="2:12" ht="15" thickBot="1" x14ac:dyDescent="0.25">
      <c r="B32" s="173" t="s">
        <v>2</v>
      </c>
      <c r="C32" s="172">
        <v>1588810.5963073699</v>
      </c>
      <c r="D32" s="174">
        <f>C32</f>
        <v>1588810.5963073699</v>
      </c>
      <c r="E32" s="174">
        <v>1409281.4610294704</v>
      </c>
      <c r="F32" s="174">
        <f>E32</f>
        <v>1409281.4610294704</v>
      </c>
      <c r="G32" s="174">
        <v>16024.870693088364</v>
      </c>
      <c r="H32" s="174">
        <f>G32</f>
        <v>16024.870693088364</v>
      </c>
      <c r="I32" s="174">
        <v>180113.274</v>
      </c>
      <c r="J32" s="174">
        <f>I32</f>
        <v>180113.274</v>
      </c>
      <c r="K32" s="174">
        <f>SUM(K26:K31)</f>
        <v>3194230.202029929</v>
      </c>
      <c r="L32" s="174">
        <f>SUM(L26:L31)</f>
        <v>3194230.2020299281</v>
      </c>
    </row>
    <row r="36" spans="2:2" x14ac:dyDescent="0.2">
      <c r="B36" s="162" t="s">
        <v>265</v>
      </c>
    </row>
  </sheetData>
  <mergeCells count="14">
    <mergeCell ref="B1:J1"/>
    <mergeCell ref="B4:J4"/>
    <mergeCell ref="B5:J5"/>
    <mergeCell ref="C8:D8"/>
    <mergeCell ref="E8:F8"/>
    <mergeCell ref="G8:H8"/>
    <mergeCell ref="I8:J8"/>
    <mergeCell ref="K23:L23"/>
    <mergeCell ref="B19:J19"/>
    <mergeCell ref="B20:J20"/>
    <mergeCell ref="C23:D23"/>
    <mergeCell ref="E23:F23"/>
    <mergeCell ref="G23:H23"/>
    <mergeCell ref="I23:J23"/>
  </mergeCells>
  <pageMargins left="0.7" right="0.7" top="0.75" bottom="0.75" header="0.3" footer="0.3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7</vt:i4>
      </vt:variant>
    </vt:vector>
  </HeadingPairs>
  <TitlesOfParts>
    <vt:vector size="21" baseType="lpstr">
      <vt:lpstr>Sch MEB 2 pg 1</vt:lpstr>
      <vt:lpstr>Sch MEB 2 pg 2</vt:lpstr>
      <vt:lpstr>Sch MEB 4 pg 1</vt:lpstr>
      <vt:lpstr>Sch MEB 4 pg 2</vt:lpstr>
      <vt:lpstr>Sch MEB 4 pg 3</vt:lpstr>
      <vt:lpstr>Sch MEB 5 pg 1</vt:lpstr>
      <vt:lpstr>Sch MEB 5 pg 2</vt:lpstr>
      <vt:lpstr>Sch MEB 5 pg 3</vt:lpstr>
      <vt:lpstr>Schedule 1 and 2 Workpaper</vt:lpstr>
      <vt:lpstr>Distrib Class EPMC Rates Workp</vt:lpstr>
      <vt:lpstr>Distribution UDC + Bond</vt:lpstr>
      <vt:lpstr>Workpaper</vt:lpstr>
      <vt:lpstr>AL-TOU Summary</vt:lpstr>
      <vt:lpstr>A6-TOU Summary</vt:lpstr>
      <vt:lpstr>'A6-TOU Summary'!Print_Area</vt:lpstr>
      <vt:lpstr>'AL-TOU Summary'!Print_Area</vt:lpstr>
      <vt:lpstr>'Distrib Class EPMC Rates Workp'!Print_Area</vt:lpstr>
      <vt:lpstr>'Distribution UDC + Bond'!Print_Area</vt:lpstr>
      <vt:lpstr>Workpaper!Print_Area</vt:lpstr>
      <vt:lpstr>'Distrib Class EPMC Rates Workp'!Print_Titles</vt:lpstr>
      <vt:lpstr>'Distribution UDC + Bond'!Print_Titles</vt:lpstr>
    </vt:vector>
  </TitlesOfParts>
  <Company>Sempra Energy Utilities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wsaxe</dc:creator>
  <cp:lastModifiedBy>Tran, Huy</cp:lastModifiedBy>
  <cp:lastPrinted>2020-03-11T16:12:32Z</cp:lastPrinted>
  <dcterms:created xsi:type="dcterms:W3CDTF">2011-04-20T23:58:21Z</dcterms:created>
  <dcterms:modified xsi:type="dcterms:W3CDTF">2020-04-21T17:35:01Z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{7301D356-2DFE-40EF-8D4C-20B1EBD5AAE9}</vt:lpwstr>
  </property>
</Properties>
</file>